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WV\Evans\Finance\PROCUREMENT\AA - Formal Solicitations\FY25-017-RFP-49th St Emergency Culvert Repair\Evaluation\"/>
    </mc:Choice>
  </mc:AlternateContent>
  <xr:revisionPtr revIDLastSave="0" documentId="13_ncr:1_{2142A236-122F-422D-B899-288842211A62}" xr6:coauthVersionLast="47" xr6:coauthVersionMax="47" xr10:uidLastSave="{00000000-0000-0000-0000-000000000000}"/>
  <bookViews>
    <workbookView xWindow="-28920" yWindow="-120" windowWidth="29040" windowHeight="15720" xr2:uid="{A256604D-EB90-4225-9A2F-290AFC2A9836}"/>
  </bookViews>
  <sheets>
    <sheet name="Composite Scores" sheetId="1" r:id="rId1"/>
    <sheet name="Andy's Scores" sheetId="8" r:id="rId2"/>
    <sheet name="April's Scores" sheetId="11" r:id="rId3"/>
    <sheet name="Amy's Scores" sheetId="9" r:id="rId4"/>
    <sheet name="Michael's Scores" sheetId="13" r:id="rId5"/>
    <sheet name="Bid Tab Comparison" sheetId="12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D6" i="1"/>
  <c r="E6" i="1"/>
  <c r="F6" i="1"/>
  <c r="G6" i="1"/>
  <c r="H6" i="1"/>
  <c r="I6" i="1"/>
  <c r="J6" i="1"/>
  <c r="K6" i="1"/>
  <c r="L6" i="1"/>
  <c r="D7" i="1"/>
  <c r="E7" i="1"/>
  <c r="F7" i="1"/>
  <c r="G7" i="1"/>
  <c r="H7" i="1"/>
  <c r="I7" i="1"/>
  <c r="J7" i="1"/>
  <c r="K7" i="1"/>
  <c r="L7" i="1"/>
  <c r="D9" i="1"/>
  <c r="E9" i="1"/>
  <c r="F9" i="1"/>
  <c r="G9" i="1"/>
  <c r="H9" i="1"/>
  <c r="I9" i="1"/>
  <c r="J9" i="1"/>
  <c r="K9" i="1"/>
  <c r="L9" i="1"/>
  <c r="D10" i="1"/>
  <c r="E10" i="1"/>
  <c r="F10" i="1"/>
  <c r="G10" i="1"/>
  <c r="H10" i="1"/>
  <c r="I10" i="1"/>
  <c r="J10" i="1"/>
  <c r="K10" i="1"/>
  <c r="L10" i="1"/>
  <c r="D11" i="1"/>
  <c r="E11" i="1"/>
  <c r="F11" i="1"/>
  <c r="G11" i="1"/>
  <c r="H11" i="1"/>
  <c r="I11" i="1"/>
  <c r="J11" i="1"/>
  <c r="K11" i="1"/>
  <c r="L11" i="1"/>
  <c r="C6" i="1"/>
  <c r="C7" i="1"/>
  <c r="C9" i="1"/>
  <c r="C10" i="1"/>
  <c r="C11" i="1"/>
  <c r="C5" i="1"/>
  <c r="C1" i="1"/>
  <c r="D1" i="1"/>
  <c r="E1" i="1"/>
  <c r="J1" i="1"/>
  <c r="L2" i="1"/>
  <c r="K2" i="1"/>
  <c r="I2" i="1"/>
  <c r="H2" i="1"/>
  <c r="G2" i="1"/>
  <c r="F2" i="1"/>
  <c r="A2" i="1"/>
  <c r="F1" i="1" s="1"/>
  <c r="L1" i="1"/>
  <c r="K1" i="1"/>
  <c r="I1" i="1"/>
  <c r="H1" i="1"/>
  <c r="G1" i="1"/>
  <c r="J86" i="12" l="1"/>
  <c r="J87" i="12"/>
  <c r="J88" i="12"/>
  <c r="J89" i="12"/>
  <c r="J90" i="12"/>
  <c r="J91" i="12"/>
  <c r="J92" i="12"/>
  <c r="J93" i="12"/>
  <c r="J94" i="12"/>
  <c r="J85" i="12"/>
  <c r="J72" i="12"/>
  <c r="J73" i="12"/>
  <c r="J74" i="12"/>
  <c r="J75" i="12"/>
  <c r="J76" i="12"/>
  <c r="J77" i="12"/>
  <c r="J78" i="12"/>
  <c r="J79" i="12"/>
  <c r="J80" i="12"/>
  <c r="J71" i="12"/>
  <c r="I86" i="12"/>
  <c r="I87" i="12"/>
  <c r="I88" i="12"/>
  <c r="I89" i="12"/>
  <c r="I90" i="12"/>
  <c r="I91" i="12"/>
  <c r="I92" i="12"/>
  <c r="I93" i="12"/>
  <c r="I94" i="12"/>
  <c r="I85" i="12"/>
  <c r="I72" i="12"/>
  <c r="I73" i="12"/>
  <c r="I74" i="12"/>
  <c r="I75" i="12"/>
  <c r="I76" i="12"/>
  <c r="I77" i="12"/>
  <c r="I78" i="12"/>
  <c r="I79" i="12"/>
  <c r="I80" i="12"/>
  <c r="I71" i="12"/>
  <c r="H86" i="12"/>
  <c r="H87" i="12"/>
  <c r="H88" i="12"/>
  <c r="H89" i="12"/>
  <c r="H90" i="12"/>
  <c r="H91" i="12"/>
  <c r="H92" i="12"/>
  <c r="H93" i="12"/>
  <c r="H94" i="12"/>
  <c r="H85" i="12"/>
  <c r="H72" i="12"/>
  <c r="H73" i="12"/>
  <c r="H74" i="12"/>
  <c r="H75" i="12"/>
  <c r="H76" i="12"/>
  <c r="H77" i="12"/>
  <c r="H78" i="12"/>
  <c r="H79" i="12"/>
  <c r="H80" i="12"/>
  <c r="H71" i="12"/>
  <c r="G94" i="12"/>
  <c r="G93" i="12"/>
  <c r="G92" i="12"/>
  <c r="G91" i="12"/>
  <c r="G90" i="12"/>
  <c r="G88" i="12"/>
  <c r="G89" i="12"/>
  <c r="G87" i="12"/>
  <c r="F89" i="12"/>
  <c r="F88" i="12"/>
  <c r="F90" i="12"/>
  <c r="F91" i="12"/>
  <c r="F92" i="12"/>
  <c r="F93" i="12"/>
  <c r="F94" i="12"/>
  <c r="F87" i="12"/>
  <c r="G86" i="12"/>
  <c r="G85" i="12"/>
  <c r="F50" i="12"/>
  <c r="F51" i="12"/>
  <c r="F52" i="12"/>
  <c r="F49" i="12"/>
  <c r="F46" i="12"/>
  <c r="F47" i="12" s="1"/>
  <c r="F39" i="12"/>
  <c r="F40" i="12"/>
  <c r="F41" i="12"/>
  <c r="F42" i="12"/>
  <c r="F43" i="12"/>
  <c r="F38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" i="12"/>
  <c r="F36" i="12" l="1"/>
  <c r="F44" i="12"/>
  <c r="F53" i="12"/>
  <c r="F54" i="12" s="1"/>
  <c r="Z39" i="12"/>
  <c r="Z40" i="12"/>
  <c r="Z41" i="12"/>
  <c r="Z42" i="12"/>
  <c r="Z43" i="12"/>
  <c r="Z50" i="12"/>
  <c r="Z51" i="12"/>
  <c r="Z52" i="12"/>
  <c r="Z49" i="12"/>
  <c r="Z46" i="12"/>
  <c r="Z38" i="12"/>
  <c r="Z4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" i="12"/>
  <c r="X50" i="12"/>
  <c r="X51" i="12"/>
  <c r="X52" i="12"/>
  <c r="X39" i="12"/>
  <c r="X40" i="12"/>
  <c r="X41" i="12"/>
  <c r="X42" i="12"/>
  <c r="X43" i="12"/>
  <c r="X49" i="12"/>
  <c r="X46" i="12"/>
  <c r="X38" i="12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" i="12"/>
  <c r="V39" i="12"/>
  <c r="V40" i="12"/>
  <c r="V41" i="12"/>
  <c r="V42" i="12"/>
  <c r="V43" i="12"/>
  <c r="V50" i="12"/>
  <c r="V51" i="12"/>
  <c r="V52" i="12"/>
  <c r="V49" i="12"/>
  <c r="V46" i="12"/>
  <c r="V38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" i="12"/>
  <c r="T39" i="12"/>
  <c r="T40" i="12"/>
  <c r="T41" i="12"/>
  <c r="T42" i="12"/>
  <c r="T43" i="12"/>
  <c r="T50" i="12"/>
  <c r="T51" i="12"/>
  <c r="T52" i="12"/>
  <c r="T49" i="12"/>
  <c r="T46" i="12"/>
  <c r="T38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" i="12"/>
  <c r="R39" i="12"/>
  <c r="R40" i="12"/>
  <c r="R41" i="12"/>
  <c r="R42" i="12"/>
  <c r="R43" i="12"/>
  <c r="R50" i="12"/>
  <c r="R51" i="12"/>
  <c r="R52" i="12"/>
  <c r="R49" i="12"/>
  <c r="R46" i="12"/>
  <c r="R38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" i="12"/>
  <c r="P50" i="12"/>
  <c r="P51" i="12"/>
  <c r="P52" i="12"/>
  <c r="P49" i="12"/>
  <c r="P46" i="12"/>
  <c r="P39" i="12"/>
  <c r="P40" i="12"/>
  <c r="P41" i="12"/>
  <c r="P42" i="12"/>
  <c r="P43" i="12"/>
  <c r="P38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9" i="12"/>
  <c r="N40" i="12"/>
  <c r="N41" i="12"/>
  <c r="N42" i="12"/>
  <c r="N43" i="12"/>
  <c r="N50" i="12"/>
  <c r="N51" i="12"/>
  <c r="N52" i="12"/>
  <c r="N49" i="12"/>
  <c r="N46" i="12"/>
  <c r="N47" i="12" s="1"/>
  <c r="N38" i="12"/>
  <c r="N3" i="12"/>
  <c r="L50" i="12"/>
  <c r="L51" i="12"/>
  <c r="L52" i="12"/>
  <c r="L49" i="12"/>
  <c r="L46" i="12"/>
  <c r="L39" i="12"/>
  <c r="L40" i="12"/>
  <c r="L41" i="12"/>
  <c r="L42" i="12"/>
  <c r="L43" i="12"/>
  <c r="L38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" i="12"/>
  <c r="J50" i="12"/>
  <c r="J51" i="12"/>
  <c r="J52" i="12"/>
  <c r="J49" i="12"/>
  <c r="J46" i="12"/>
  <c r="J47" i="12" s="1"/>
  <c r="J39" i="12"/>
  <c r="J40" i="12"/>
  <c r="J41" i="12"/>
  <c r="J42" i="12"/>
  <c r="J43" i="12"/>
  <c r="J38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" i="12"/>
  <c r="L47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8" i="12"/>
  <c r="H39" i="12"/>
  <c r="H40" i="12"/>
  <c r="H41" i="12"/>
  <c r="H42" i="12"/>
  <c r="H43" i="12"/>
  <c r="H46" i="12"/>
  <c r="H47" i="12" s="1"/>
  <c r="H49" i="12"/>
  <c r="H50" i="12"/>
  <c r="H51" i="12"/>
  <c r="H52" i="12"/>
  <c r="H3" i="12"/>
  <c r="H44" i="12" l="1"/>
  <c r="H36" i="12"/>
  <c r="H53" i="12"/>
  <c r="J53" i="12"/>
  <c r="L36" i="12"/>
  <c r="N53" i="12"/>
  <c r="L53" i="12"/>
  <c r="J44" i="12"/>
  <c r="L44" i="12"/>
  <c r="J36" i="12"/>
  <c r="H54" i="12" l="1"/>
  <c r="G64" i="12" s="1"/>
  <c r="L54" i="12"/>
  <c r="G60" i="12" s="1"/>
  <c r="J54" i="12"/>
  <c r="G66" i="12" s="1"/>
  <c r="T44" i="12"/>
  <c r="V44" i="12"/>
  <c r="R44" i="12"/>
  <c r="Z44" i="12"/>
  <c r="N44" i="12"/>
  <c r="P44" i="12"/>
  <c r="X44" i="12"/>
  <c r="N36" i="12"/>
  <c r="P53" i="12"/>
  <c r="P47" i="12"/>
  <c r="P36" i="12"/>
  <c r="N54" i="12" l="1"/>
  <c r="G63" i="12" s="1"/>
  <c r="P54" i="12"/>
  <c r="G61" i="12" s="1"/>
  <c r="R53" i="12"/>
  <c r="R47" i="12"/>
  <c r="R36" i="12"/>
  <c r="R54" i="12" l="1"/>
  <c r="G59" i="12" s="1"/>
  <c r="T53" i="12"/>
  <c r="T47" i="12"/>
  <c r="T36" i="12"/>
  <c r="T54" i="12" l="1"/>
  <c r="G62" i="12" s="1"/>
  <c r="V53" i="12"/>
  <c r="V47" i="12"/>
  <c r="V36" i="12"/>
  <c r="V54" i="12" l="1"/>
  <c r="Z53" i="12"/>
  <c r="X53" i="12"/>
  <c r="X47" i="12"/>
  <c r="Z47" i="12"/>
  <c r="X36" i="12"/>
  <c r="Z36" i="12"/>
  <c r="G58" i="12" l="1"/>
  <c r="X54" i="12"/>
  <c r="G65" i="12" s="1"/>
  <c r="Z54" i="12"/>
  <c r="G67" i="12" s="1"/>
  <c r="I65" i="12" l="1"/>
  <c r="J65" i="12" s="1"/>
  <c r="K12" i="1" s="1"/>
  <c r="K13" i="1" s="1"/>
  <c r="H65" i="12"/>
  <c r="H58" i="12"/>
  <c r="I58" i="12"/>
  <c r="J58" i="12" s="1"/>
  <c r="H12" i="1" s="1"/>
  <c r="H13" i="1" s="1"/>
  <c r="I64" i="12"/>
  <c r="J64" i="12" s="1"/>
  <c r="E12" i="1" s="1"/>
  <c r="E13" i="1" s="1"/>
  <c r="H64" i="12"/>
  <c r="I66" i="12"/>
  <c r="J66" i="12" s="1"/>
  <c r="I12" i="1" s="1"/>
  <c r="I13" i="1" s="1"/>
  <c r="H66" i="12"/>
  <c r="H60" i="12"/>
  <c r="I60" i="12"/>
  <c r="J60" i="12" s="1"/>
  <c r="J12" i="1" s="1"/>
  <c r="J13" i="1" s="1"/>
  <c r="H63" i="12"/>
  <c r="I63" i="12"/>
  <c r="J63" i="12" s="1"/>
  <c r="C12" i="1" s="1"/>
  <c r="C13" i="1" s="1"/>
  <c r="I61" i="12"/>
  <c r="J61" i="12" s="1"/>
  <c r="D12" i="1" s="1"/>
  <c r="D13" i="1" s="1"/>
  <c r="H61" i="12"/>
  <c r="H59" i="12"/>
  <c r="I59" i="12"/>
  <c r="J59" i="12" s="1"/>
  <c r="F12" i="1" s="1"/>
  <c r="F13" i="1" s="1"/>
  <c r="I62" i="12"/>
  <c r="J62" i="12" s="1"/>
  <c r="G12" i="1" s="1"/>
  <c r="G13" i="1" s="1"/>
  <c r="H62" i="12"/>
  <c r="H67" i="12"/>
  <c r="I67" i="12"/>
  <c r="J67" i="12" s="1"/>
  <c r="L12" i="1" s="1"/>
  <c r="L13" i="1" s="1"/>
  <c r="C11" i="13" l="1"/>
  <c r="C12" i="13" s="1"/>
  <c r="C11" i="11"/>
  <c r="C12" i="11" s="1"/>
  <c r="C11" i="9"/>
  <c r="C12" i="9" s="1"/>
  <c r="J11" i="11"/>
  <c r="J12" i="11" s="1"/>
  <c r="J11" i="13"/>
  <c r="J12" i="13" s="1"/>
  <c r="J11" i="9"/>
  <c r="J12" i="9" s="1"/>
  <c r="L11" i="9"/>
  <c r="L12" i="9" s="1"/>
  <c r="L11" i="13"/>
  <c r="L12" i="13" s="1"/>
  <c r="L11" i="11"/>
  <c r="L12" i="11" s="1"/>
  <c r="I11" i="11"/>
  <c r="I12" i="11" s="1"/>
  <c r="I11" i="13"/>
  <c r="I12" i="13" s="1"/>
  <c r="I11" i="9"/>
  <c r="I12" i="9" s="1"/>
  <c r="G11" i="9"/>
  <c r="G12" i="9" s="1"/>
  <c r="G11" i="11"/>
  <c r="G12" i="11" s="1"/>
  <c r="G11" i="13"/>
  <c r="G12" i="13" s="1"/>
  <c r="E11" i="11"/>
  <c r="E12" i="11" s="1"/>
  <c r="E11" i="13"/>
  <c r="E12" i="13" s="1"/>
  <c r="E11" i="9"/>
  <c r="E12" i="9" s="1"/>
  <c r="F11" i="13"/>
  <c r="F12" i="13" s="1"/>
  <c r="F11" i="9"/>
  <c r="F12" i="9" s="1"/>
  <c r="F11" i="11"/>
  <c r="F12" i="11" s="1"/>
  <c r="H11" i="13"/>
  <c r="H12" i="13" s="1"/>
  <c r="H11" i="11"/>
  <c r="H12" i="11" s="1"/>
  <c r="H11" i="9"/>
  <c r="H12" i="9" s="1"/>
  <c r="D11" i="13"/>
  <c r="D12" i="13" s="1"/>
  <c r="D11" i="11"/>
  <c r="D12" i="11" s="1"/>
  <c r="D11" i="9"/>
  <c r="D12" i="9" s="1"/>
  <c r="K11" i="13"/>
  <c r="K12" i="13" s="1"/>
  <c r="K11" i="9"/>
  <c r="K12" i="9" s="1"/>
  <c r="K11" i="11"/>
  <c r="K12" i="11" s="1"/>
  <c r="D11" i="8"/>
  <c r="D12" i="8" s="1"/>
  <c r="L11" i="8"/>
  <c r="L12" i="8" s="1"/>
  <c r="C11" i="8"/>
  <c r="C12" i="8" s="1"/>
  <c r="J11" i="8"/>
  <c r="J12" i="8" s="1"/>
  <c r="I11" i="8"/>
  <c r="I12" i="8" s="1"/>
  <c r="G11" i="8"/>
  <c r="G12" i="8" s="1"/>
  <c r="E11" i="8"/>
  <c r="E12" i="8" s="1"/>
  <c r="F11" i="8"/>
  <c r="F12" i="8" s="1"/>
  <c r="H11" i="8"/>
  <c r="H12" i="8" s="1"/>
  <c r="K11" i="8"/>
  <c r="K12" i="8" s="1"/>
</calcChain>
</file>

<file path=xl/sharedStrings.xml><?xml version="1.0" encoding="utf-8"?>
<sst xmlns="http://schemas.openxmlformats.org/spreadsheetml/2006/main" count="408" uniqueCount="207">
  <si>
    <t>Comments</t>
  </si>
  <si>
    <t>Qualifications of Anticipated Staff</t>
  </si>
  <si>
    <t>Previous Experience w/Similar Projects</t>
  </si>
  <si>
    <t>Weighting Factor</t>
  </si>
  <si>
    <t>Capability to Perform Required Services (45 pts)</t>
  </si>
  <si>
    <t>Costs (10 pts)</t>
  </si>
  <si>
    <t>Total Score (100 pts)</t>
  </si>
  <si>
    <t>Utilities Management</t>
  </si>
  <si>
    <t>Winter Work</t>
  </si>
  <si>
    <t>Schedule Management</t>
  </si>
  <si>
    <t>Experience with High Pressure Utility Lines</t>
  </si>
  <si>
    <t>FY25-017 49th St Emergency Culvert Repair</t>
  </si>
  <si>
    <t>Project Plan (45 pts)</t>
  </si>
  <si>
    <t>ITEM NO.</t>
  </si>
  <si>
    <t>ITEM</t>
  </si>
  <si>
    <t>UNIT</t>
  </si>
  <si>
    <t>TOTAL QUANTITY</t>
  </si>
  <si>
    <t>201-00000</t>
  </si>
  <si>
    <t>CLEARING AND GRUBBING</t>
  </si>
  <si>
    <t>LS</t>
  </si>
  <si>
    <t>202-00033</t>
  </si>
  <si>
    <t>REMOVAL OF PIPE (72" X 42" ELLIPTICAL CMP)</t>
  </si>
  <si>
    <t>LF</t>
  </si>
  <si>
    <t>202-00035</t>
  </si>
  <si>
    <t>REMOVAL OF PIPE (18" CMP)</t>
  </si>
  <si>
    <t>202-00221</t>
  </si>
  <si>
    <t>REMOVAL OF ASPHALT MAT (PLANING) (4-INCH)</t>
  </si>
  <si>
    <t>SY</t>
  </si>
  <si>
    <t>REMOVAL OF ASPHALT MAT (PLANING) (2-INCH)</t>
  </si>
  <si>
    <t>203-00000</t>
  </si>
  <si>
    <t>UNCLASSIFIED EXCAVATION (COMPLETE IN PLACE)</t>
  </si>
  <si>
    <t>CY</t>
  </si>
  <si>
    <t>203-01597</t>
  </si>
  <si>
    <t>POTHOLING</t>
  </si>
  <si>
    <t>EA</t>
  </si>
  <si>
    <t>206-00100</t>
  </si>
  <si>
    <t>STRUCTURE BACKFILL (CLASS 1)</t>
  </si>
  <si>
    <t>208-00002</t>
  </si>
  <si>
    <t>EROSION LOG TYPE 1 (12 INCH)</t>
  </si>
  <si>
    <t>208-00045</t>
  </si>
  <si>
    <t>CONCRETE WASHOUT STRUCTURE</t>
  </si>
  <si>
    <t xml:space="preserve">EA </t>
  </si>
  <si>
    <t>208-00070</t>
  </si>
  <si>
    <t>VEHICLE TRACKING PAD</t>
  </si>
  <si>
    <t>208-00106</t>
  </si>
  <si>
    <t>SWEEPING (SEDIMENT REMOVAL)</t>
  </si>
  <si>
    <t>HOUR</t>
  </si>
  <si>
    <t>208-00200</t>
  </si>
  <si>
    <t>EROSION CONTROL MANAGEMENT</t>
  </si>
  <si>
    <t>210-00060</t>
  </si>
  <si>
    <t>RESET MARKER</t>
  </si>
  <si>
    <t>212-00002</t>
  </si>
  <si>
    <t>SEEDING (NATIVE)</t>
  </si>
  <si>
    <t>AC</t>
  </si>
  <si>
    <t>212-01200</t>
  </si>
  <si>
    <t>LANDSCAPE RESTORATION</t>
  </si>
  <si>
    <t>213-00000</t>
  </si>
  <si>
    <t xml:space="preserve">MULCHING </t>
  </si>
  <si>
    <t>216-00041</t>
  </si>
  <si>
    <t>SOIL RETENTION BLANKET (STRAW-COCONUT)</t>
  </si>
  <si>
    <t>304-06007</t>
  </si>
  <si>
    <t>AGGREGATE BASE COURSE (CLASS 6)</t>
  </si>
  <si>
    <t>306-01000</t>
  </si>
  <si>
    <t>RECONDITIONING (8-INCH)</t>
  </si>
  <si>
    <t>403-32741</t>
  </si>
  <si>
    <t>HOT MIX ASPHALT (GRADING SX)(75)(PG 64-22)</t>
  </si>
  <si>
    <t>TON</t>
  </si>
  <si>
    <t>506-00030</t>
  </si>
  <si>
    <t>GROUTED RIPRAP</t>
  </si>
  <si>
    <t>515-00120</t>
  </si>
  <si>
    <t>WATERPROOFING (MEMBRANE)</t>
  </si>
  <si>
    <t>601-03030</t>
  </si>
  <si>
    <t>CONCRETE CLASS D (BOX CULVERT)</t>
  </si>
  <si>
    <t>602-00020</t>
  </si>
  <si>
    <t>REINFORCING STEEL (EPOXY COATED)</t>
  </si>
  <si>
    <t>LB</t>
  </si>
  <si>
    <t>603-01180</t>
  </si>
  <si>
    <t>18" REINFORCED CONCRETE PIPE</t>
  </si>
  <si>
    <t>606-02005</t>
  </si>
  <si>
    <t>18" FLARED END SECTION</t>
  </si>
  <si>
    <t>626-00000</t>
  </si>
  <si>
    <t xml:space="preserve">MOBILIZATION </t>
  </si>
  <si>
    <t>627-00005</t>
  </si>
  <si>
    <t>MODIFIED EPOXY PAVEMENT MARKING</t>
  </si>
  <si>
    <t>GAL</t>
  </si>
  <si>
    <t>630-00016</t>
  </si>
  <si>
    <t>TRAFFIC CONTROL (SPECIAL)</t>
  </si>
  <si>
    <t>900-00014</t>
  </si>
  <si>
    <t>MATERIAL AND SAMPLE TESTING</t>
  </si>
  <si>
    <t>700-70010</t>
  </si>
  <si>
    <t>F/A MINOR CONTRACT REVISIONS</t>
  </si>
  <si>
    <t>FA</t>
  </si>
  <si>
    <t xml:space="preserve">700-70081 </t>
  </si>
  <si>
    <t>F/A PROVIDE CONSTRUCTABILITY REVIEW</t>
  </si>
  <si>
    <t>BASE BID TOTAL:</t>
  </si>
  <si>
    <t>BID ALTERNATE 1</t>
  </si>
  <si>
    <t>206-00065</t>
  </si>
  <si>
    <t>STRUCTURE BACKFILL (FLOW-FILL)</t>
  </si>
  <si>
    <t>506-00212</t>
  </si>
  <si>
    <t>RIPRAP (12-INCH)</t>
  </si>
  <si>
    <t>604-00305</t>
  </si>
  <si>
    <t>INLET TYPE C (5 FOOT)</t>
  </si>
  <si>
    <t>BID ALTERNATE 1:</t>
  </si>
  <si>
    <t>BID ALTERNATE 2</t>
  </si>
  <si>
    <t>406-09501</t>
  </si>
  <si>
    <t>COLD BITUMINOUS PAVEMENT</t>
  </si>
  <si>
    <t>BID ALTERNATE 2:</t>
  </si>
  <si>
    <t>BID ALTERNATE 3</t>
  </si>
  <si>
    <t>606-00302</t>
  </si>
  <si>
    <t>GUARDRAIL TYPE 3 (31 INCH MIDWEST GUARDRAIL SYSTEM)</t>
  </si>
  <si>
    <t>606-01340</t>
  </si>
  <si>
    <t>END ANCHORAGE TYPE 3D</t>
  </si>
  <si>
    <t>606-01385</t>
  </si>
  <si>
    <t>TRANSITION TYPE 3J</t>
  </si>
  <si>
    <t>END ANCHORAGE (FLARED)</t>
  </si>
  <si>
    <t>BID ALTERNATE 3:</t>
  </si>
  <si>
    <t>Edge Contracting</t>
  </si>
  <si>
    <t>Unit</t>
  </si>
  <si>
    <t>Total</t>
  </si>
  <si>
    <t>TOTAL W/ALL BID ALTERNATES</t>
  </si>
  <si>
    <t>Myers &amp; Sons</t>
  </si>
  <si>
    <t>NCC</t>
  </si>
  <si>
    <t>Connell</t>
  </si>
  <si>
    <t>DeFalco</t>
  </si>
  <si>
    <t>Hallmark Inc</t>
  </si>
  <si>
    <t>HEI Civil</t>
  </si>
  <si>
    <t>Mountain Constructors</t>
  </si>
  <si>
    <t>Tuston Construction</t>
  </si>
  <si>
    <t>WW Clyde</t>
  </si>
  <si>
    <t>-Self perform most work
-has asphalt crews in house
-good rational for pre-cast vs pour in place
-would like more winter mitigation description
-Only 2 staff listed - Who is foreman? Superintendent? Support staff?
-Prev. projects don’t highlight similar conditions</t>
  </si>
  <si>
    <t>-No schedule management
-lacking details re: winter work and HPL
-Good risk mgmt re:exposed utilities but little consideration for toerh project risks
-solid team exp
-Project examples don’t specify similarities</t>
  </si>
  <si>
    <t>-Golden office location
-solid team exp
-limited HPL considerations
-good considerations for gen utilities, schedule and winter work but lacking details
-reference projects seem solid but don't highlight similar constraints</t>
  </si>
  <si>
    <t>-DBE
-solid winter work and HPL considerations
-appreciated "we only commit to projects that we know we can complete on time"
-performs 75% of req'd work
-Owns all winter work equip
-Suggested heated forced air as addition WW consideration
-good team exp
-no schedule provided</t>
  </si>
  <si>
    <t>-called us Town of Evans
-Great experience in HPL, WW and Accel Timeline
-solid team
-DART approach seems tested, practical and of benefit
-local team
-owns ALL necessary equipment
-</t>
  </si>
  <si>
    <t xml:space="preserve">-First 7 pages were erroneous copy and paste from RFP doc
-no schedule info
-narrative has reasonable ideas but not much detail
-prior exp doesn't have project details
</t>
  </si>
  <si>
    <t>-Great team cohesion
-dewatering plan***
-alternate plans already well fleshed out
-excellent plan for completing project successfully
-solid argument for cast-in-place over pre-cast
-quite a few subs
-exp in Evans</t>
  </si>
  <si>
    <t>Rank</t>
  </si>
  <si>
    <t>Firm</t>
  </si>
  <si>
    <t>Variance from Low</t>
  </si>
  <si>
    <t>% above Low</t>
  </si>
  <si>
    <t>Lump Sum</t>
  </si>
  <si>
    <t>Points</t>
  </si>
  <si>
    <t>-Good utility plan
-solid wint er plan and remediation efforts
nuissance water considerations
-cast-in-place
-schedule saving opportunities identified
-solid team exp
-lots of wetwork exp
-prev exp mostly relevant to this project
-HPL considerations were good but could have used more detail</t>
  </si>
  <si>
    <t>Kimley-Horn Estimates</t>
  </si>
  <si>
    <t>-Lidar and BIM for utilities (unique deliverable)
-excellent prev proj experience
-solid team
-great detail on plans/considerations
-lots of Weld County exp
-Most expensive by far</t>
  </si>
  <si>
    <t>Price with all Bid Alts</t>
  </si>
  <si>
    <t>Price comparison with just base bids</t>
  </si>
  <si>
    <t>Lacking discussion on schedulizing and lead times for pre-cast systems.</t>
  </si>
  <si>
    <t>Little discussion on approach to cast in place approach.</t>
  </si>
  <si>
    <t>Good relevant exp. In Greely and Windsor and additional projects in the area.</t>
  </si>
  <si>
    <t>Experience with pre cast systems.</t>
  </si>
  <si>
    <t>CO Based in Fort Collins, CO</t>
  </si>
  <si>
    <t>Lacking discussion on previous/similar scoped projects, winter work, and schedulizing.</t>
  </si>
  <si>
    <t>No discussion on cast-in-place approach.</t>
  </si>
  <si>
    <t>Less formal proposal and website, likely smaller team, however, good notes of  field crew/laborers.</t>
  </si>
  <si>
    <t>Frederick, CO</t>
  </si>
  <si>
    <t>Good cost.</t>
  </si>
  <si>
    <t>Good experience with complex drainage / concrete structures. SEMSWA, UDFCD.</t>
  </si>
  <si>
    <t>No discussion on schedulizing.</t>
  </si>
  <si>
    <t>Good examples of previous work (CDOT, Thornton etc.)</t>
  </si>
  <si>
    <t>Golden, CO.</t>
  </si>
  <si>
    <t>Cost is a little high, encroaching on the 600K.</t>
  </si>
  <si>
    <t>Good pricing on PCC-CIP and steel. Cost has plenty of buffer below 600k and is closer to Engineer's Estimate.</t>
  </si>
  <si>
    <t>Great experience with winter construction (Cast-in-place) PCC ped bridge.</t>
  </si>
  <si>
    <t>Wheat Ridge, CO based</t>
  </si>
  <si>
    <t>5 office personnel and 18 field staff.</t>
  </si>
  <si>
    <t>Great discussion on cast-in-place, irrigation canals, and winter approach.</t>
  </si>
  <si>
    <t>Great attention to detail / RFP / Addendum responses. Good overall proposal presentation.</t>
  </si>
  <si>
    <t>Cost is very close to Engineer's Estimate and in a great spot.</t>
  </si>
  <si>
    <t>Castle Rock, CO based</t>
  </si>
  <si>
    <t>Very good experience - Pena / Jackson Gap. And other storm/PCC projects.</t>
  </si>
  <si>
    <t>Pricing came in  low on LS items - mob, materials and sample testing, erosion control, traffic control. Resulted in 100K lower than engineer's estimate. Risky but other line items came in close to what is expected.</t>
  </si>
  <si>
    <t>Best narrative on utilities management and good understanding / discussion on existing site conditions.</t>
  </si>
  <si>
    <t>Very good discussion on construction process. No discussion on cast in place vs. pre cast CBC though.</t>
  </si>
  <si>
    <t>Plateville, CO</t>
  </si>
  <si>
    <t>Could be a good option if we pull out a bid alternate. Total bid over 600K.</t>
  </si>
  <si>
    <t>Prior work experience in Adams County and Kimley-Horn. CSU. Michael to speak with KHA team that has worked with them.</t>
  </si>
  <si>
    <t>Brighton, CO</t>
  </si>
  <si>
    <t>No discussion of cast-in-place approach.</t>
  </si>
  <si>
    <t>See Amy's sheet</t>
  </si>
  <si>
    <t>See Amy's sheet.</t>
  </si>
  <si>
    <t>COST (Low to High)(KHA rank 5):</t>
  </si>
  <si>
    <t>% OF ENGINEER'S ESTIMATE</t>
  </si>
  <si>
    <t>TOTAL COST</t>
  </si>
  <si>
    <t>KHA - ENGINEER'S COST</t>
  </si>
  <si>
    <t>UNDER 600K CITY BUDGET?</t>
  </si>
  <si>
    <t>YES</t>
  </si>
  <si>
    <t>NO</t>
  </si>
  <si>
    <t>Base Plus Alt 2</t>
  </si>
  <si>
    <t>Hallmark</t>
  </si>
  <si>
    <t>Edge</t>
  </si>
  <si>
    <t>Tuston</t>
  </si>
  <si>
    <t>Only approach is precast, what if precasters can't meet schedule (likely)?, no plan for winter work for cast in place end sections/wingwalls/grouted riprap. No specific schedule presented.</t>
  </si>
  <si>
    <t>Only approach is precast, what if precasters can't meet schedule (likely)?, no plan for winter work for cast in place end sections/wingwalls/grouted riprap, on example projects they sub out concrete work. No specific schedule presented.</t>
  </si>
  <si>
    <t>Good winter work approach, good CIP similar examples, specific project with HP sanitary.</t>
  </si>
  <si>
    <t>Example projects were all very large, &gt;$9m, what priority/level of service will the City get. Design/build expereince listed</t>
  </si>
  <si>
    <t>Underestimating de-watering needs, utility meeting a plus, pump plans for sanitary lowering, sanitary expereince not highlighted</t>
  </si>
  <si>
    <t>Did not ackowledge addenda, detailed schedule, addressed questions well, alt delivery experience</t>
  </si>
  <si>
    <t>No mention of schedule, not a lot of detail on past work, no mention of high pressure expereince/ approachs</t>
  </si>
  <si>
    <t>Good schedule options, listed subs, no info on alt delivery/engineer coordination type projects</t>
  </si>
  <si>
    <t>Added cost for lidar/BIM would be redundant from what KH has done, no specific schedule, some examples were purely roadway jobs</t>
  </si>
  <si>
    <t>Only proposal with specific protection mentioned for waterline, good examples of winter work, no specific schedule mentioned though. Design/build experience listed</t>
  </si>
  <si>
    <t>-good permit breakdown
-solid project narrative and utility coordination
-thoughtful and well explained alternative suggestions
-prev projects seem C/O heavy (seem to be beneficial changes though)
-team has long history together
-prior projects highlight utilties but light on accelerated timeline and winter work considerations
-Lots of exp in Evans
-Lowest cost</t>
  </si>
  <si>
    <t>Engineer Estimates</t>
  </si>
  <si>
    <t>*Red name denotes proposed pre-cast rather than cast-in-place*</t>
  </si>
  <si>
    <t>Variance from Eng Estimate</t>
  </si>
  <si>
    <t xml:space="preserve">Base Bid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</si>
</sst>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\-#####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indexed="24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quotePrefix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 indent="1"/>
    </xf>
    <xf numFmtId="3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44" fontId="6" fillId="0" borderId="0" xfId="2" applyFont="1"/>
    <xf numFmtId="0" fontId="6" fillId="0" borderId="0" xfId="0" applyFont="1" applyAlignment="1">
      <alignment wrapText="1"/>
    </xf>
    <xf numFmtId="44" fontId="6" fillId="0" borderId="0" xfId="0" applyNumberFormat="1" applyFont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left" vertical="center" indent="1"/>
    </xf>
    <xf numFmtId="164" fontId="8" fillId="0" borderId="7" xfId="0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/>
    </xf>
    <xf numFmtId="44" fontId="8" fillId="0" borderId="1" xfId="2" applyFont="1" applyBorder="1" applyProtection="1">
      <protection locked="0"/>
    </xf>
    <xf numFmtId="44" fontId="8" fillId="0" borderId="10" xfId="2" applyFont="1" applyBorder="1" applyProtection="1">
      <protection locked="0"/>
    </xf>
    <xf numFmtId="4" fontId="8" fillId="0" borderId="7" xfId="1" applyNumberFormat="1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left" vertical="center" indent="1"/>
    </xf>
    <xf numFmtId="164" fontId="8" fillId="2" borderId="7" xfId="0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/>
    <xf numFmtId="164" fontId="7" fillId="0" borderId="6" xfId="0" applyNumberFormat="1" applyFont="1" applyBorder="1" applyAlignment="1">
      <alignment horizontal="left" vertical="center" indent="1"/>
    </xf>
    <xf numFmtId="3" fontId="7" fillId="0" borderId="1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 indent="1"/>
    </xf>
    <xf numFmtId="3" fontId="8" fillId="0" borderId="0" xfId="1" applyNumberFormat="1" applyFont="1" applyAlignment="1">
      <alignment horizontal="center"/>
    </xf>
    <xf numFmtId="0" fontId="6" fillId="0" borderId="13" xfId="0" applyFont="1" applyBorder="1" applyAlignment="1">
      <alignment horizontal="center"/>
    </xf>
    <xf numFmtId="44" fontId="8" fillId="0" borderId="14" xfId="2" applyFont="1" applyBorder="1" applyProtection="1">
      <protection locked="0"/>
    </xf>
    <xf numFmtId="0" fontId="6" fillId="0" borderId="14" xfId="0" applyFont="1" applyBorder="1"/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/>
    </xf>
    <xf numFmtId="3" fontId="7" fillId="2" borderId="1" xfId="1" applyNumberFormat="1" applyFont="1" applyFill="1" applyBorder="1"/>
    <xf numFmtId="44" fontId="8" fillId="0" borderId="1" xfId="2" applyFont="1" applyBorder="1" applyAlignment="1">
      <alignment horizontal="center"/>
    </xf>
    <xf numFmtId="44" fontId="7" fillId="2" borderId="1" xfId="2" applyFont="1" applyFill="1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 indent="1"/>
    </xf>
    <xf numFmtId="44" fontId="6" fillId="0" borderId="1" xfId="2" applyFont="1" applyBorder="1"/>
    <xf numFmtId="44" fontId="8" fillId="0" borderId="1" xfId="2" applyFont="1" applyBorder="1" applyAlignment="1">
      <alignment horizontal="center" vertical="center"/>
    </xf>
    <xf numFmtId="2" fontId="6" fillId="0" borderId="1" xfId="0" applyNumberFormat="1" applyFont="1" applyBorder="1"/>
    <xf numFmtId="3" fontId="7" fillId="0" borderId="10" xfId="1" applyNumberFormat="1" applyFont="1" applyBorder="1"/>
    <xf numFmtId="44" fontId="1" fillId="0" borderId="1" xfId="0" applyNumberFormat="1" applyFont="1" applyBorder="1"/>
    <xf numFmtId="0" fontId="1" fillId="0" borderId="10" xfId="0" applyFont="1" applyBorder="1"/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0" fillId="3" borderId="1" xfId="0" applyNumberFormat="1" applyFill="1" applyBorder="1"/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5" fillId="0" borderId="1" xfId="1" applyNumberFormat="1" applyFont="1" applyBorder="1" applyAlignment="1">
      <alignment horizontal="center"/>
    </xf>
    <xf numFmtId="44" fontId="0" fillId="0" borderId="1" xfId="2" applyFont="1" applyBorder="1"/>
    <xf numFmtId="44" fontId="0" fillId="0" borderId="1" xfId="0" applyNumberFormat="1" applyBorder="1"/>
    <xf numFmtId="10" fontId="0" fillId="0" borderId="1" xfId="3" applyNumberFormat="1" applyFont="1" applyBorder="1"/>
    <xf numFmtId="10" fontId="8" fillId="0" borderId="1" xfId="3" applyNumberFormat="1" applyFont="1" applyBorder="1" applyAlignment="1">
      <alignment horizontal="right"/>
    </xf>
    <xf numFmtId="44" fontId="0" fillId="0" borderId="0" xfId="0" applyNumberFormat="1"/>
    <xf numFmtId="44" fontId="0" fillId="0" borderId="0" xfId="2" applyFont="1"/>
    <xf numFmtId="44" fontId="1" fillId="5" borderId="0" xfId="0" applyNumberFormat="1" applyFont="1" applyFill="1"/>
    <xf numFmtId="44" fontId="11" fillId="6" borderId="0" xfId="0" applyNumberFormat="1" applyFont="1" applyFill="1"/>
    <xf numFmtId="44" fontId="12" fillId="6" borderId="0" xfId="0" applyNumberFormat="1" applyFont="1" applyFill="1"/>
    <xf numFmtId="0" fontId="1" fillId="0" borderId="0" xfId="0" applyFont="1" applyAlignment="1">
      <alignment horizontal="center"/>
    </xf>
    <xf numFmtId="44" fontId="13" fillId="0" borderId="0" xfId="2" applyFont="1"/>
    <xf numFmtId="164" fontId="9" fillId="6" borderId="6" xfId="0" applyNumberFormat="1" applyFont="1" applyFill="1" applyBorder="1" applyAlignment="1">
      <alignment horizontal="left" vertical="center" indent="1"/>
    </xf>
    <xf numFmtId="44" fontId="9" fillId="6" borderId="1" xfId="2" applyFont="1" applyFill="1" applyBorder="1" applyAlignment="1">
      <alignment horizontal="center"/>
    </xf>
    <xf numFmtId="44" fontId="10" fillId="6" borderId="1" xfId="0" applyNumberFormat="1" applyFont="1" applyFill="1" applyBorder="1"/>
    <xf numFmtId="44" fontId="9" fillId="6" borderId="1" xfId="0" applyNumberFormat="1" applyFont="1" applyFill="1" applyBorder="1"/>
    <xf numFmtId="164" fontId="8" fillId="6" borderId="6" xfId="0" applyNumberFormat="1" applyFont="1" applyFill="1" applyBorder="1" applyAlignment="1">
      <alignment horizontal="left" vertical="center" indent="1"/>
    </xf>
    <xf numFmtId="44" fontId="8" fillId="6" borderId="1" xfId="2" applyFont="1" applyFill="1" applyBorder="1" applyAlignment="1">
      <alignment horizontal="center"/>
    </xf>
    <xf numFmtId="44" fontId="1" fillId="6" borderId="1" xfId="0" applyNumberFormat="1" applyFont="1" applyFill="1" applyBorder="1"/>
    <xf numFmtId="44" fontId="10" fillId="6" borderId="1" xfId="2" applyFont="1" applyFill="1" applyBorder="1" applyAlignment="1">
      <alignment horizontal="center"/>
    </xf>
    <xf numFmtId="164" fontId="7" fillId="6" borderId="6" xfId="0" applyNumberFormat="1" applyFont="1" applyFill="1" applyBorder="1" applyAlignment="1">
      <alignment horizontal="left" vertical="center" indent="1"/>
    </xf>
    <xf numFmtId="164" fontId="10" fillId="6" borderId="6" xfId="0" applyNumberFormat="1" applyFont="1" applyFill="1" applyBorder="1" applyAlignment="1">
      <alignment horizontal="left" vertical="center" indent="1"/>
    </xf>
    <xf numFmtId="44" fontId="8" fillId="7" borderId="1" xfId="2" applyFont="1" applyFill="1" applyBorder="1" applyAlignment="1">
      <alignment horizontal="center"/>
    </xf>
    <xf numFmtId="44" fontId="10" fillId="6" borderId="10" xfId="2" applyFont="1" applyFill="1" applyBorder="1" applyProtection="1">
      <protection locked="0"/>
    </xf>
    <xf numFmtId="44" fontId="6" fillId="7" borderId="1" xfId="0" applyNumberFormat="1" applyFont="1" applyFill="1" applyBorder="1"/>
    <xf numFmtId="44" fontId="10" fillId="6" borderId="1" xfId="2" applyFont="1" applyFill="1" applyBorder="1" applyProtection="1">
      <protection locked="0"/>
    </xf>
    <xf numFmtId="44" fontId="8" fillId="5" borderId="1" xfId="2" applyFont="1" applyFill="1" applyBorder="1" applyAlignment="1">
      <alignment horizontal="center"/>
    </xf>
    <xf numFmtId="44" fontId="7" fillId="5" borderId="1" xfId="2" applyFont="1" applyFill="1" applyBorder="1" applyProtection="1">
      <protection locked="0"/>
    </xf>
    <xf numFmtId="44" fontId="10" fillId="5" borderId="1" xfId="2" applyFont="1" applyFill="1" applyBorder="1" applyProtection="1">
      <protection locked="0"/>
    </xf>
    <xf numFmtId="44" fontId="10" fillId="5" borderId="1" xfId="0" applyNumberFormat="1" applyFont="1" applyFill="1" applyBorder="1"/>
    <xf numFmtId="44" fontId="8" fillId="7" borderId="1" xfId="2" applyFont="1" applyFill="1" applyBorder="1" applyProtection="1">
      <protection locked="0"/>
    </xf>
    <xf numFmtId="44" fontId="6" fillId="6" borderId="1" xfId="0" applyNumberFormat="1" applyFont="1" applyFill="1" applyBorder="1"/>
    <xf numFmtId="44" fontId="10" fillId="6" borderId="1" xfId="2" applyFont="1" applyFill="1" applyBorder="1" applyAlignment="1">
      <alignment horizontal="right"/>
    </xf>
    <xf numFmtId="0" fontId="2" fillId="0" borderId="3" xfId="0" applyFont="1" applyBorder="1"/>
    <xf numFmtId="0" fontId="0" fillId="0" borderId="1" xfId="0" applyBorder="1" applyAlignment="1">
      <alignment horizontal="center" vertical="center" wrapText="1"/>
    </xf>
    <xf numFmtId="3" fontId="8" fillId="0" borderId="15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/>
    </xf>
    <xf numFmtId="3" fontId="7" fillId="0" borderId="12" xfId="1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</cellXfs>
  <cellStyles count="4">
    <cellStyle name="Currency" xfId="2" builtinId="4"/>
    <cellStyle name="Normal" xfId="0" builtinId="0"/>
    <cellStyle name="Normal_FOR_Cost_Estimate_and_sumquan" xfId="1" xr:uid="{401A0239-EFDF-44D4-B34B-E2CEFF14758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vowell\AppData\Local\Microsoft\Windows\INetCache\Content.Outlook\J67IDN9E\FY25-017%20Bid%20Tab%20Composite-MH.xlsx" TargetMode="External"/><Relationship Id="rId1" Type="http://schemas.openxmlformats.org/officeDocument/2006/relationships/externalLinkPath" Target="file:///C:\Users\avowell\AppData\Local\Microsoft\Windows\INetCache\Content.Outlook\J67IDN9E\FY25-017%20Bid%20Tab%20Composite-M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te Scores"/>
      <sheetName val="Andy's Scores"/>
      <sheetName val="April's Scores"/>
      <sheetName val="Mazedur's Scores"/>
      <sheetName val="Amy's Scores"/>
      <sheetName val="Michael's Scores"/>
      <sheetName val="Bid Tab Comparison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F36">
            <v>398112</v>
          </cell>
          <cell r="J36">
            <v>570355</v>
          </cell>
          <cell r="R36">
            <v>372660.75</v>
          </cell>
          <cell r="T36">
            <v>426944.7</v>
          </cell>
          <cell r="V36">
            <v>306276</v>
          </cell>
          <cell r="X36">
            <v>509710.64999999997</v>
          </cell>
          <cell r="Z36">
            <v>637260.30000000005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2D47-AF7C-4218-A5F2-169F8D24D294}">
  <dimension ref="A1:L21"/>
  <sheetViews>
    <sheetView tabSelected="1" zoomScale="90" zoomScaleNormal="90" workbookViewId="0">
      <selection activeCell="D27" sqref="D27"/>
    </sheetView>
  </sheetViews>
  <sheetFormatPr defaultRowHeight="15" x14ac:dyDescent="0.25"/>
  <cols>
    <col min="1" max="1" width="53.5703125" bestFit="1" customWidth="1"/>
    <col min="2" max="2" width="26.140625" bestFit="1" customWidth="1"/>
    <col min="3" max="12" width="15.7109375" customWidth="1"/>
    <col min="13" max="13" width="25.5703125" bestFit="1" customWidth="1"/>
  </cols>
  <sheetData>
    <row r="1" spans="1:12" x14ac:dyDescent="0.25">
      <c r="A1" s="91" t="s">
        <v>203</v>
      </c>
      <c r="B1" s="73" t="s">
        <v>205</v>
      </c>
      <c r="C1" s="86">
        <f t="shared" ref="C1:E1" si="0">$A$2-C2</f>
        <v>-85868.900000000023</v>
      </c>
      <c r="D1" s="86">
        <f t="shared" si="0"/>
        <v>-29692.280000000028</v>
      </c>
      <c r="E1" s="86">
        <f t="shared" si="0"/>
        <v>-63640</v>
      </c>
      <c r="F1" s="86">
        <f>$A$2-F2</f>
        <v>25451.25</v>
      </c>
      <c r="G1" s="86">
        <f t="shared" ref="G1:L1" si="1">$A$2-G2</f>
        <v>-28832.700000000012</v>
      </c>
      <c r="H1" s="86">
        <f t="shared" si="1"/>
        <v>91836</v>
      </c>
      <c r="I1" s="88">
        <f t="shared" si="1"/>
        <v>-172243</v>
      </c>
      <c r="J1" s="88">
        <f t="shared" si="1"/>
        <v>-12460.650000000023</v>
      </c>
      <c r="K1" s="88">
        <f t="shared" si="1"/>
        <v>-111598.64999999997</v>
      </c>
      <c r="L1" s="88">
        <f t="shared" si="1"/>
        <v>-239148.30000000005</v>
      </c>
    </row>
    <row r="2" spans="1:12" ht="15.75" x14ac:dyDescent="0.25">
      <c r="A2" s="89">
        <f>'[1]Bid Tab Comparison'!F36</f>
        <v>398112</v>
      </c>
      <c r="B2" s="73" t="s">
        <v>206</v>
      </c>
      <c r="C2" s="87">
        <v>483980.9</v>
      </c>
      <c r="D2" s="87">
        <v>427804.28</v>
      </c>
      <c r="E2" s="86">
        <v>461752</v>
      </c>
      <c r="F2" s="89">
        <f>'[1]Bid Tab Comparison'!R36</f>
        <v>372660.75</v>
      </c>
      <c r="G2" s="89">
        <f>'[1]Bid Tab Comparison'!T36</f>
        <v>426944.7</v>
      </c>
      <c r="H2" s="89">
        <f>'[1]Bid Tab Comparison'!V36</f>
        <v>306276</v>
      </c>
      <c r="I2" s="90">
        <f>'[1]Bid Tab Comparison'!J36</f>
        <v>570355</v>
      </c>
      <c r="J2" s="92">
        <v>410572.65</v>
      </c>
      <c r="K2" s="90">
        <f>'[1]Bid Tab Comparison'!X36</f>
        <v>509710.64999999997</v>
      </c>
      <c r="L2" s="90">
        <f>'[1]Bid Tab Comparison'!Z36</f>
        <v>637260.30000000005</v>
      </c>
    </row>
    <row r="3" spans="1:12" ht="30" x14ac:dyDescent="0.25">
      <c r="A3" s="8" t="s">
        <v>11</v>
      </c>
      <c r="B3" s="9" t="s">
        <v>3</v>
      </c>
      <c r="C3" s="74" t="s">
        <v>122</v>
      </c>
      <c r="D3" s="74" t="s">
        <v>123</v>
      </c>
      <c r="E3" s="23" t="s">
        <v>116</v>
      </c>
      <c r="F3" s="79" t="s">
        <v>124</v>
      </c>
      <c r="G3" s="78" t="s">
        <v>125</v>
      </c>
      <c r="H3" s="74" t="s">
        <v>126</v>
      </c>
      <c r="I3" s="23" t="s">
        <v>120</v>
      </c>
      <c r="J3" s="75" t="s">
        <v>121</v>
      </c>
      <c r="K3" s="78" t="s">
        <v>127</v>
      </c>
      <c r="L3" s="78" t="s">
        <v>128</v>
      </c>
    </row>
    <row r="4" spans="1:12" x14ac:dyDescent="0.25">
      <c r="A4" s="6" t="s">
        <v>12</v>
      </c>
      <c r="B4" s="10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7" t="s">
        <v>7</v>
      </c>
      <c r="B5" s="10">
        <v>3</v>
      </c>
      <c r="C5" s="4">
        <f>AVERAGE('Andy''s Scores'!C4,'April''s Scores'!C4,'Amy''s Scores'!C4,'Michael''s Scores'!C4)</f>
        <v>4.125</v>
      </c>
      <c r="D5" s="4">
        <f>AVERAGE('Andy''s Scores'!D4,'April''s Scores'!D4,'Amy''s Scores'!D4,'Michael''s Scores'!D4)</f>
        <v>2.6749999999999998</v>
      </c>
      <c r="E5" s="4">
        <f>AVERAGE('Andy''s Scores'!E4,'April''s Scores'!E4,'Amy''s Scores'!E4,'Michael''s Scores'!E4)</f>
        <v>3.45</v>
      </c>
      <c r="F5" s="4">
        <f>AVERAGE('Andy''s Scores'!F4,'April''s Scores'!F4,'Amy''s Scores'!F4,'Michael''s Scores'!F4)</f>
        <v>4.375</v>
      </c>
      <c r="G5" s="4">
        <f>AVERAGE('Andy''s Scores'!G4,'April''s Scores'!G4,'Amy''s Scores'!G4,'Michael''s Scores'!G4)</f>
        <v>4.625</v>
      </c>
      <c r="H5" s="4">
        <f>AVERAGE('Andy''s Scores'!H4,'April''s Scores'!H4,'Amy''s Scores'!H4,'Michael''s Scores'!H4)</f>
        <v>4.5750000000000002</v>
      </c>
      <c r="I5" s="4">
        <f>AVERAGE('Andy''s Scores'!I4,'April''s Scores'!I4,'Amy''s Scores'!I4,'Michael''s Scores'!I4)</f>
        <v>4.875</v>
      </c>
      <c r="J5" s="4">
        <f>AVERAGE('Andy''s Scores'!J4,'April''s Scores'!J4,'Amy''s Scores'!J4,'Michael''s Scores'!J4)</f>
        <v>3.875</v>
      </c>
      <c r="K5" s="4">
        <f>AVERAGE('Andy''s Scores'!K4,'April''s Scores'!K4,'Amy''s Scores'!K4,'Michael''s Scores'!K4)</f>
        <v>5</v>
      </c>
      <c r="L5" s="4">
        <f>AVERAGE('Andy''s Scores'!L4,'April''s Scores'!L4,'Amy''s Scores'!L4,'Michael''s Scores'!L4)</f>
        <v>4.333333333333333</v>
      </c>
    </row>
    <row r="6" spans="1:12" x14ac:dyDescent="0.25">
      <c r="A6" s="7" t="s">
        <v>8</v>
      </c>
      <c r="B6" s="10">
        <v>3</v>
      </c>
      <c r="C6" s="4">
        <f>AVERAGE('Andy''s Scores'!C5,'April''s Scores'!C5,'Amy''s Scores'!C5,'Michael''s Scores'!C5)</f>
        <v>2.875</v>
      </c>
      <c r="D6" s="4">
        <f>AVERAGE('Andy''s Scores'!D5,'April''s Scores'!D5,'Amy''s Scores'!D5,'Michael''s Scores'!D5)</f>
        <v>2.25</v>
      </c>
      <c r="E6" s="4">
        <f>AVERAGE('Andy''s Scores'!E5,'April''s Scores'!E5,'Amy''s Scores'!E5,'Michael''s Scores'!E5)</f>
        <v>3.45</v>
      </c>
      <c r="F6" s="4">
        <f>AVERAGE('Andy''s Scores'!F5,'April''s Scores'!F5,'Amy''s Scores'!F5,'Michael''s Scores'!F5)</f>
        <v>4.125</v>
      </c>
      <c r="G6" s="4">
        <f>AVERAGE('Andy''s Scores'!G5,'April''s Scores'!G5,'Amy''s Scores'!G5,'Michael''s Scores'!G5)</f>
        <v>4.875</v>
      </c>
      <c r="H6" s="4">
        <f>AVERAGE('Andy''s Scores'!H5,'April''s Scores'!H5,'Amy''s Scores'!H5,'Michael''s Scores'!H5)</f>
        <v>3.7</v>
      </c>
      <c r="I6" s="4">
        <f>AVERAGE('Andy''s Scores'!I5,'April''s Scores'!I5,'Amy''s Scores'!I5,'Michael''s Scores'!I5)</f>
        <v>4.875</v>
      </c>
      <c r="J6" s="4">
        <f>AVERAGE('Andy''s Scores'!J5,'April''s Scores'!J5,'Amy''s Scores'!J5,'Michael''s Scores'!J5)</f>
        <v>3.5</v>
      </c>
      <c r="K6" s="4">
        <f>AVERAGE('Andy''s Scores'!K5,'April''s Scores'!K5,'Amy''s Scores'!K5,'Michael''s Scores'!K5)</f>
        <v>3</v>
      </c>
      <c r="L6" s="4">
        <f>AVERAGE('Andy''s Scores'!L5,'April''s Scores'!L5,'Amy''s Scores'!L5,'Michael''s Scores'!L5)</f>
        <v>5</v>
      </c>
    </row>
    <row r="7" spans="1:12" x14ac:dyDescent="0.25">
      <c r="A7" s="7" t="s">
        <v>9</v>
      </c>
      <c r="B7" s="10">
        <v>3</v>
      </c>
      <c r="C7" s="4">
        <f>AVERAGE('Andy''s Scores'!C6,'April''s Scores'!C6,'Amy''s Scores'!C6,'Michael''s Scores'!C6)</f>
        <v>2.875</v>
      </c>
      <c r="D7" s="4">
        <f>AVERAGE('Andy''s Scores'!D6,'April''s Scores'!D6,'Amy''s Scores'!D6,'Michael''s Scores'!D6)</f>
        <v>1.625</v>
      </c>
      <c r="E7" s="4">
        <f>AVERAGE('Andy''s Scores'!E6,'April''s Scores'!E6,'Amy''s Scores'!E6,'Michael''s Scores'!E6)</f>
        <v>2.2999999999999998</v>
      </c>
      <c r="F7" s="4">
        <f>AVERAGE('Andy''s Scores'!F6,'April''s Scores'!F6,'Amy''s Scores'!F6,'Michael''s Scores'!F6)</f>
        <v>2.0750000000000002</v>
      </c>
      <c r="G7" s="4">
        <f>AVERAGE('Andy''s Scores'!G6,'April''s Scores'!G6,'Amy''s Scores'!G6,'Michael''s Scores'!G6)</f>
        <v>4.375</v>
      </c>
      <c r="H7" s="4">
        <f>AVERAGE('Andy''s Scores'!H6,'April''s Scores'!H6,'Amy''s Scores'!H6,'Michael''s Scores'!H6)</f>
        <v>3.95</v>
      </c>
      <c r="I7" s="4">
        <f>AVERAGE('Andy''s Scores'!I6,'April''s Scores'!I6,'Amy''s Scores'!I6,'Michael''s Scores'!I6)</f>
        <v>4.75</v>
      </c>
      <c r="J7" s="4">
        <f>AVERAGE('Andy''s Scores'!J6,'April''s Scores'!J6,'Amy''s Scores'!J6,'Michael''s Scores'!J6)</f>
        <v>1.675</v>
      </c>
      <c r="K7" s="4">
        <f>AVERAGE('Andy''s Scores'!K6,'April''s Scores'!K6,'Amy''s Scores'!K6,'Michael''s Scores'!K6)</f>
        <v>4.666666666666667</v>
      </c>
      <c r="L7" s="4">
        <f>AVERAGE('Andy''s Scores'!L6,'April''s Scores'!L6,'Amy''s Scores'!L6,'Michael''s Scores'!L6)</f>
        <v>3.6666666666666665</v>
      </c>
    </row>
    <row r="8" spans="1:12" x14ac:dyDescent="0.25">
      <c r="A8" s="6" t="s">
        <v>4</v>
      </c>
      <c r="B8" s="10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1</v>
      </c>
      <c r="B9" s="10">
        <v>3</v>
      </c>
      <c r="C9" s="4">
        <f>AVERAGE('Andy''s Scores'!C8,'April''s Scores'!C8,'Amy''s Scores'!C8,'Michael''s Scores'!C8)</f>
        <v>4</v>
      </c>
      <c r="D9" s="4">
        <f>AVERAGE('Andy''s Scores'!D8,'April''s Scores'!D8,'Amy''s Scores'!D8,'Michael''s Scores'!D8)</f>
        <v>3.6749999999999998</v>
      </c>
      <c r="E9" s="4">
        <f>AVERAGE('Andy''s Scores'!E8,'April''s Scores'!E8,'Amy''s Scores'!E8,'Michael''s Scores'!E8)</f>
        <v>4.875</v>
      </c>
      <c r="F9" s="4">
        <f>AVERAGE('Andy''s Scores'!F8,'April''s Scores'!F8,'Amy''s Scores'!F8,'Michael''s Scores'!F8)</f>
        <v>4.875</v>
      </c>
      <c r="G9" s="4">
        <f>AVERAGE('Andy''s Scores'!G8,'April''s Scores'!G8,'Amy''s Scores'!G8,'Michael''s Scores'!G8)</f>
        <v>4.7</v>
      </c>
      <c r="H9" s="4">
        <f>AVERAGE('Andy''s Scores'!H8,'April''s Scores'!H8,'Amy''s Scores'!H8,'Michael''s Scores'!H8)</f>
        <v>4.625</v>
      </c>
      <c r="I9" s="4">
        <f>AVERAGE('Andy''s Scores'!I8,'April''s Scores'!I8,'Amy''s Scores'!I8,'Michael''s Scores'!I8)</f>
        <v>4.875</v>
      </c>
      <c r="J9" s="4">
        <f>AVERAGE('Andy''s Scores'!J8,'April''s Scores'!J8,'Amy''s Scores'!J8,'Michael''s Scores'!J8)</f>
        <v>4.75</v>
      </c>
      <c r="K9" s="4">
        <f>AVERAGE('Andy''s Scores'!K8,'April''s Scores'!K8,'Amy''s Scores'!K8,'Michael''s Scores'!K8)</f>
        <v>4.666666666666667</v>
      </c>
      <c r="L9" s="4">
        <f>AVERAGE('Andy''s Scores'!L8,'April''s Scores'!L8,'Amy''s Scores'!L8,'Michael''s Scores'!L8)</f>
        <v>5</v>
      </c>
    </row>
    <row r="10" spans="1:12" x14ac:dyDescent="0.25">
      <c r="A10" s="5" t="s">
        <v>2</v>
      </c>
      <c r="B10" s="10">
        <v>3</v>
      </c>
      <c r="C10" s="4">
        <f>AVERAGE('Andy''s Scores'!C9,'April''s Scores'!C9,'Amy''s Scores'!C9,'Michael''s Scores'!C9)</f>
        <v>3.375</v>
      </c>
      <c r="D10" s="4">
        <f>AVERAGE('Andy''s Scores'!D9,'April''s Scores'!D9,'Amy''s Scores'!D9,'Michael''s Scores'!D9)</f>
        <v>2.6749999999999998</v>
      </c>
      <c r="E10" s="4">
        <f>AVERAGE('Andy''s Scores'!E9,'April''s Scores'!E9,'Amy''s Scores'!E9,'Michael''s Scores'!E9)</f>
        <v>4</v>
      </c>
      <c r="F10" s="4">
        <f>AVERAGE('Andy''s Scores'!F9,'April''s Scores'!F9,'Amy''s Scores'!F9,'Michael''s Scores'!F9)</f>
        <v>4.4249999999999998</v>
      </c>
      <c r="G10" s="4">
        <f>AVERAGE('Andy''s Scores'!G9,'April''s Scores'!G9,'Amy''s Scores'!G9,'Michael''s Scores'!G9)</f>
        <v>4.0750000000000002</v>
      </c>
      <c r="H10" s="4">
        <f>AVERAGE('Andy''s Scores'!H9,'April''s Scores'!H9,'Amy''s Scores'!H9,'Michael''s Scores'!H9)</f>
        <v>3.8250000000000002</v>
      </c>
      <c r="I10" s="4">
        <f>AVERAGE('Andy''s Scores'!I9,'April''s Scores'!I9,'Amy''s Scores'!I9,'Michael''s Scores'!I9)</f>
        <v>4.375</v>
      </c>
      <c r="J10" s="4">
        <f>AVERAGE('Andy''s Scores'!J9,'April''s Scores'!J9,'Amy''s Scores'!J9,'Michael''s Scores'!J9)</f>
        <v>2.625</v>
      </c>
      <c r="K10" s="4">
        <f>AVERAGE('Andy''s Scores'!K9,'April''s Scores'!K9,'Amy''s Scores'!K9,'Michael''s Scores'!K9)</f>
        <v>4.4333333333333336</v>
      </c>
      <c r="L10" s="4">
        <f>AVERAGE('Andy''s Scores'!L9,'April''s Scores'!L9,'Amy''s Scores'!L9,'Michael''s Scores'!L9)</f>
        <v>4.666666666666667</v>
      </c>
    </row>
    <row r="11" spans="1:12" x14ac:dyDescent="0.25">
      <c r="A11" s="7" t="s">
        <v>10</v>
      </c>
      <c r="B11" s="10">
        <v>3</v>
      </c>
      <c r="C11" s="4">
        <f>AVERAGE('Andy''s Scores'!C10,'April''s Scores'!C10,'Amy''s Scores'!C10,'Michael''s Scores'!C10)</f>
        <v>2.75</v>
      </c>
      <c r="D11" s="4">
        <f>AVERAGE('Andy''s Scores'!D10,'April''s Scores'!D10,'Amy''s Scores'!D10,'Michael''s Scores'!D10)</f>
        <v>2.25</v>
      </c>
      <c r="E11" s="4">
        <f>AVERAGE('Andy''s Scores'!E10,'April''s Scores'!E10,'Amy''s Scores'!E10,'Michael''s Scores'!E10)</f>
        <v>2.5</v>
      </c>
      <c r="F11" s="4">
        <f>AVERAGE('Andy''s Scores'!F10,'April''s Scores'!F10,'Amy''s Scores'!F10,'Michael''s Scores'!F10)</f>
        <v>4.3250000000000002</v>
      </c>
      <c r="G11" s="4">
        <f>AVERAGE('Andy''s Scores'!G10,'April''s Scores'!G10,'Amy''s Scores'!G10,'Michael''s Scores'!G10)</f>
        <v>3.4249999999999998</v>
      </c>
      <c r="H11" s="4">
        <f>AVERAGE('Andy''s Scores'!H10,'April''s Scores'!H10,'Amy''s Scores'!H10,'Michael''s Scores'!H10)</f>
        <v>3.1749999999999998</v>
      </c>
      <c r="I11" s="4">
        <f>AVERAGE('Andy''s Scores'!I10,'April''s Scores'!I10,'Amy''s Scores'!I10,'Michael''s Scores'!I10)</f>
        <v>3.625</v>
      </c>
      <c r="J11" s="4">
        <f>AVERAGE('Andy''s Scores'!J10,'April''s Scores'!J10,'Amy''s Scores'!J10,'Michael''s Scores'!J10)</f>
        <v>1.5</v>
      </c>
      <c r="K11" s="4">
        <f>AVERAGE('Andy''s Scores'!K10,'April''s Scores'!K10,'Amy''s Scores'!K10,'Michael''s Scores'!K10)</f>
        <v>4.666666666666667</v>
      </c>
      <c r="L11" s="4">
        <f>AVERAGE('Andy''s Scores'!L10,'April''s Scores'!L10,'Amy''s Scores'!L10,'Michael''s Scores'!L10)</f>
        <v>4.666666666666667</v>
      </c>
    </row>
    <row r="12" spans="1:12" x14ac:dyDescent="0.25">
      <c r="A12" s="6" t="s">
        <v>5</v>
      </c>
      <c r="B12" s="10">
        <v>2</v>
      </c>
      <c r="C12" s="4">
        <f>'Bid Tab Comparison'!J63</f>
        <v>3.5745902415062707</v>
      </c>
      <c r="D12" s="4">
        <f>'Bid Tab Comparison'!J61</f>
        <v>4.1473431985554248</v>
      </c>
      <c r="E12" s="4">
        <f>'Bid Tab Comparison'!J64</f>
        <v>3.5505602486651795</v>
      </c>
      <c r="F12" s="4">
        <f>'Bid Tab Comparison'!J59</f>
        <v>4.3776874250446074</v>
      </c>
      <c r="G12" s="4">
        <f>'Bid Tab Comparison'!J62</f>
        <v>3.8807155446924821</v>
      </c>
      <c r="H12" s="4">
        <f>'Bid Tab Comparison'!J58</f>
        <v>5</v>
      </c>
      <c r="I12" s="4">
        <f>'Bid Tab Comparison'!J66</f>
        <v>3.1562482093856841</v>
      </c>
      <c r="J12" s="4">
        <f>'Bid Tab Comparison'!J60</f>
        <v>4.1577046728587908</v>
      </c>
      <c r="K12" s="4">
        <f>'Bid Tab Comparison'!J65</f>
        <v>3.2051996454067218</v>
      </c>
      <c r="L12" s="4">
        <f>'Bid Tab Comparison'!J67</f>
        <v>2.8227674778217176</v>
      </c>
    </row>
    <row r="13" spans="1:12" x14ac:dyDescent="0.25">
      <c r="A13" s="2" t="s">
        <v>6</v>
      </c>
      <c r="B13" s="3"/>
      <c r="C13" s="76">
        <f>(C5*$B$5)+(C6*$B$6)+(C7*$B$7)+(C9*$B$9)+(C10*$B$10)+(C11*$B$11)+(C12*$B$12)</f>
        <v>67.149180483012543</v>
      </c>
      <c r="D13" s="76">
        <f t="shared" ref="D13:L13" si="2">(D5*$B$5)+(D6*$B$6)+(D7*$B$7)+(D9*$B$9)+(D10*$B$10)+(D11*$B$11)+(D12*$B$12)</f>
        <v>53.744686397110847</v>
      </c>
      <c r="E13" s="76">
        <f t="shared" si="2"/>
        <v>68.826120497330365</v>
      </c>
      <c r="F13" s="77">
        <f t="shared" si="2"/>
        <v>81.355374850089206</v>
      </c>
      <c r="G13" s="77">
        <f t="shared" si="2"/>
        <v>85.986431089384965</v>
      </c>
      <c r="H13" s="77">
        <f t="shared" si="2"/>
        <v>81.550000000000011</v>
      </c>
      <c r="I13" s="77">
        <f t="shared" si="2"/>
        <v>88.437496418771374</v>
      </c>
      <c r="J13" s="76">
        <f t="shared" si="2"/>
        <v>62.090409345717582</v>
      </c>
      <c r="K13" s="77">
        <f t="shared" si="2"/>
        <v>85.710399290813442</v>
      </c>
      <c r="L13" s="77">
        <f t="shared" si="2"/>
        <v>87.645534955643441</v>
      </c>
    </row>
    <row r="14" spans="1:12" x14ac:dyDescent="0.25">
      <c r="B14" s="17"/>
      <c r="C14" s="18"/>
      <c r="D14" s="18"/>
    </row>
    <row r="15" spans="1:12" x14ac:dyDescent="0.25">
      <c r="B15" s="16"/>
    </row>
    <row r="16" spans="1:12" x14ac:dyDescent="0.25">
      <c r="B16" s="16"/>
    </row>
    <row r="17" spans="2:3" x14ac:dyDescent="0.25">
      <c r="B17" s="16"/>
    </row>
    <row r="18" spans="2:3" x14ac:dyDescent="0.25">
      <c r="B18" s="16"/>
      <c r="C18" s="73" t="s">
        <v>204</v>
      </c>
    </row>
    <row r="19" spans="2:3" x14ac:dyDescent="0.25">
      <c r="B19" s="16"/>
    </row>
    <row r="20" spans="2:3" x14ac:dyDescent="0.25">
      <c r="B20" s="16"/>
    </row>
    <row r="21" spans="2:3" x14ac:dyDescent="0.25">
      <c r="B21" s="16"/>
    </row>
  </sheetData>
  <sortState xmlns:xlrd2="http://schemas.microsoft.com/office/spreadsheetml/2017/richdata2" columnSort="1" ref="C3:L3">
    <sortCondition ref="C3:L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37E1-1DD2-4510-B9FE-FD1225D8A62C}">
  <dimension ref="A2:L21"/>
  <sheetViews>
    <sheetView workbookViewId="0">
      <selection activeCell="I16" sqref="I16"/>
    </sheetView>
  </sheetViews>
  <sheetFormatPr defaultRowHeight="15" x14ac:dyDescent="0.25"/>
  <cols>
    <col min="1" max="1" width="53.5703125" bestFit="1" customWidth="1"/>
    <col min="2" max="2" width="10.140625" bestFit="1" customWidth="1"/>
    <col min="3" max="9" width="23.5703125" customWidth="1"/>
    <col min="10" max="12" width="23.28515625" customWidth="1"/>
  </cols>
  <sheetData>
    <row r="2" spans="1:12" ht="30" x14ac:dyDescent="0.25">
      <c r="A2" s="8" t="s">
        <v>11</v>
      </c>
      <c r="B2" s="9" t="s">
        <v>3</v>
      </c>
      <c r="C2" s="9" t="s">
        <v>122</v>
      </c>
      <c r="D2" s="9" t="s">
        <v>123</v>
      </c>
      <c r="E2" s="23" t="s">
        <v>116</v>
      </c>
      <c r="F2" s="9" t="s">
        <v>124</v>
      </c>
      <c r="G2" s="9" t="s">
        <v>125</v>
      </c>
      <c r="H2" s="9" t="s">
        <v>126</v>
      </c>
      <c r="I2" s="23" t="s">
        <v>120</v>
      </c>
      <c r="J2" s="23" t="s">
        <v>121</v>
      </c>
      <c r="K2" s="9" t="s">
        <v>127</v>
      </c>
      <c r="L2" s="9" t="s">
        <v>128</v>
      </c>
    </row>
    <row r="3" spans="1:12" x14ac:dyDescent="0.25">
      <c r="A3" s="6" t="s">
        <v>12</v>
      </c>
      <c r="B3" s="10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" t="s">
        <v>7</v>
      </c>
      <c r="B4" s="10">
        <v>3</v>
      </c>
      <c r="C4" s="1">
        <v>5</v>
      </c>
      <c r="D4" s="1">
        <v>3</v>
      </c>
      <c r="E4" s="1">
        <v>4</v>
      </c>
      <c r="F4" s="1">
        <v>5</v>
      </c>
      <c r="G4" s="1">
        <v>5</v>
      </c>
      <c r="H4" s="1">
        <v>5</v>
      </c>
      <c r="I4" s="1">
        <v>5</v>
      </c>
      <c r="J4" s="1">
        <v>3</v>
      </c>
      <c r="K4" s="1">
        <v>5</v>
      </c>
      <c r="L4" s="1">
        <v>5</v>
      </c>
    </row>
    <row r="5" spans="1:12" x14ac:dyDescent="0.25">
      <c r="A5" s="7" t="s">
        <v>8</v>
      </c>
      <c r="B5" s="10">
        <v>3</v>
      </c>
      <c r="C5" s="1">
        <v>3</v>
      </c>
      <c r="D5" s="1">
        <v>2</v>
      </c>
      <c r="E5" s="1">
        <v>4</v>
      </c>
      <c r="F5" s="1">
        <v>5</v>
      </c>
      <c r="G5" s="1">
        <v>5</v>
      </c>
      <c r="H5" s="1">
        <v>4</v>
      </c>
      <c r="I5" s="1">
        <v>5</v>
      </c>
      <c r="J5" s="1">
        <v>3</v>
      </c>
      <c r="K5" s="1">
        <v>5</v>
      </c>
      <c r="L5" s="1">
        <v>5</v>
      </c>
    </row>
    <row r="6" spans="1:12" x14ac:dyDescent="0.25">
      <c r="A6" s="7" t="s">
        <v>9</v>
      </c>
      <c r="B6" s="10">
        <v>3</v>
      </c>
      <c r="C6" s="1">
        <v>5</v>
      </c>
      <c r="D6" s="1">
        <v>1</v>
      </c>
      <c r="E6" s="1">
        <v>3</v>
      </c>
      <c r="F6" s="1">
        <v>2</v>
      </c>
      <c r="G6" s="1">
        <v>5</v>
      </c>
      <c r="H6" s="1">
        <v>5</v>
      </c>
      <c r="I6" s="1">
        <v>5</v>
      </c>
      <c r="J6" s="1">
        <v>1</v>
      </c>
      <c r="K6" s="1">
        <v>5</v>
      </c>
      <c r="L6" s="1">
        <v>5</v>
      </c>
    </row>
    <row r="7" spans="1:12" x14ac:dyDescent="0.25">
      <c r="A7" s="6" t="s">
        <v>4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1</v>
      </c>
      <c r="B8" s="10">
        <v>3</v>
      </c>
      <c r="C8" s="1">
        <v>2</v>
      </c>
      <c r="D8" s="1">
        <v>4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5</v>
      </c>
      <c r="K8" s="1">
        <v>4</v>
      </c>
      <c r="L8" s="1">
        <v>5</v>
      </c>
    </row>
    <row r="9" spans="1:12" x14ac:dyDescent="0.25">
      <c r="A9" s="5" t="s">
        <v>2</v>
      </c>
      <c r="B9" s="10">
        <v>3</v>
      </c>
      <c r="C9" s="1">
        <v>3</v>
      </c>
      <c r="D9" s="1">
        <v>3</v>
      </c>
      <c r="E9" s="1">
        <v>3</v>
      </c>
      <c r="F9" s="1">
        <v>5</v>
      </c>
      <c r="G9" s="1">
        <v>4</v>
      </c>
      <c r="H9" s="1">
        <v>4</v>
      </c>
      <c r="I9" s="1">
        <v>5</v>
      </c>
      <c r="J9" s="1">
        <v>2</v>
      </c>
      <c r="K9" s="1">
        <v>5</v>
      </c>
      <c r="L9" s="1">
        <v>5</v>
      </c>
    </row>
    <row r="10" spans="1:12" x14ac:dyDescent="0.25">
      <c r="A10" s="7" t="s">
        <v>10</v>
      </c>
      <c r="B10" s="10">
        <v>3</v>
      </c>
      <c r="C10" s="1">
        <v>4</v>
      </c>
      <c r="D10" s="1">
        <v>2</v>
      </c>
      <c r="E10" s="1">
        <v>2</v>
      </c>
      <c r="F10" s="1">
        <v>5</v>
      </c>
      <c r="G10" s="1">
        <v>4</v>
      </c>
      <c r="H10" s="1">
        <v>4</v>
      </c>
      <c r="I10" s="1">
        <v>5</v>
      </c>
      <c r="J10" s="1">
        <v>1</v>
      </c>
      <c r="K10" s="1">
        <v>5</v>
      </c>
      <c r="L10" s="1">
        <v>5</v>
      </c>
    </row>
    <row r="11" spans="1:12" x14ac:dyDescent="0.25">
      <c r="A11" s="6" t="s">
        <v>5</v>
      </c>
      <c r="B11" s="10">
        <v>2</v>
      </c>
      <c r="C11" s="4">
        <f>'Composite Scores'!C12</f>
        <v>3.5745902415062707</v>
      </c>
      <c r="D11" s="4">
        <f>'Composite Scores'!D12</f>
        <v>4.1473431985554248</v>
      </c>
      <c r="E11" s="4">
        <f>'Composite Scores'!E12</f>
        <v>3.5505602486651795</v>
      </c>
      <c r="F11" s="4">
        <f>'Composite Scores'!F12</f>
        <v>4.3776874250446074</v>
      </c>
      <c r="G11" s="4">
        <f>'Composite Scores'!G12</f>
        <v>3.8807155446924821</v>
      </c>
      <c r="H11" s="4">
        <f>'Composite Scores'!H12</f>
        <v>5</v>
      </c>
      <c r="I11" s="4">
        <f>'Composite Scores'!I12</f>
        <v>3.1562482093856841</v>
      </c>
      <c r="J11" s="4">
        <f>'Composite Scores'!J12</f>
        <v>4.1577046728587908</v>
      </c>
      <c r="K11" s="4">
        <f>'Composite Scores'!K12</f>
        <v>3.2051996454067218</v>
      </c>
      <c r="L11" s="4">
        <f>'Composite Scores'!L12</f>
        <v>2.8227674778217176</v>
      </c>
    </row>
    <row r="12" spans="1:12" x14ac:dyDescent="0.25">
      <c r="A12" s="2" t="s">
        <v>6</v>
      </c>
      <c r="B12" s="3"/>
      <c r="C12" s="4">
        <f>(C4*$B$4)+(C5*$B$5)+(C6*$B$6)+(C8*$B$8)+(C9*$B$9)+(C10*$B$10)+(C11*$B$11)</f>
        <v>73.149180483012543</v>
      </c>
      <c r="D12" s="4">
        <f t="shared" ref="D12:L12" si="0">(D4*$B$4)+(D5*$B$5)+(D6*$B$6)+(D8*$B$8)+(D9*$B$9)+(D10*$B$10)+(D11*$B$11)</f>
        <v>53.294686397110851</v>
      </c>
      <c r="E12" s="4">
        <f t="shared" si="0"/>
        <v>70.101120497330356</v>
      </c>
      <c r="F12" s="4">
        <f t="shared" si="0"/>
        <v>89.755374850089211</v>
      </c>
      <c r="G12" s="4">
        <f t="shared" si="0"/>
        <v>91.761431089384971</v>
      </c>
      <c r="H12" s="4">
        <f t="shared" si="0"/>
        <v>91</v>
      </c>
      <c r="I12" s="4">
        <f t="shared" si="0"/>
        <v>96.312496418771374</v>
      </c>
      <c r="J12" s="4">
        <f t="shared" si="0"/>
        <v>53.315409345717583</v>
      </c>
      <c r="K12" s="4">
        <f t="shared" si="0"/>
        <v>93.410399290813444</v>
      </c>
      <c r="L12" s="4">
        <f t="shared" si="0"/>
        <v>95.645534955643441</v>
      </c>
    </row>
    <row r="13" spans="1:12" s="11" customFormat="1" ht="285" x14ac:dyDescent="0.25">
      <c r="A13" s="12" t="s">
        <v>0</v>
      </c>
      <c r="B13" s="14"/>
      <c r="C13" s="15" t="s">
        <v>129</v>
      </c>
      <c r="D13" s="15" t="s">
        <v>130</v>
      </c>
      <c r="E13" s="13" t="s">
        <v>131</v>
      </c>
      <c r="F13" s="13" t="s">
        <v>132</v>
      </c>
      <c r="G13" s="13" t="s">
        <v>142</v>
      </c>
      <c r="H13" s="13" t="s">
        <v>202</v>
      </c>
      <c r="I13" s="13" t="s">
        <v>133</v>
      </c>
      <c r="J13" s="13" t="s">
        <v>134</v>
      </c>
      <c r="K13" s="13" t="s">
        <v>135</v>
      </c>
      <c r="L13" s="13" t="s">
        <v>144</v>
      </c>
    </row>
    <row r="14" spans="1:12" x14ac:dyDescent="0.25">
      <c r="B14" s="17"/>
      <c r="C14" s="18"/>
      <c r="D14" s="18"/>
    </row>
    <row r="15" spans="1:12" x14ac:dyDescent="0.25">
      <c r="B15" s="16"/>
    </row>
    <row r="16" spans="1:12" x14ac:dyDescent="0.25">
      <c r="B16" s="16"/>
    </row>
    <row r="17" spans="2:2" x14ac:dyDescent="0.25">
      <c r="B17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01B7-26E1-4F7D-B095-B5E1401579BF}">
  <dimension ref="A2:L21"/>
  <sheetViews>
    <sheetView workbookViewId="0">
      <selection activeCell="L11" sqref="L11"/>
    </sheetView>
  </sheetViews>
  <sheetFormatPr defaultRowHeight="15" x14ac:dyDescent="0.25"/>
  <cols>
    <col min="1" max="1" width="53.5703125" bestFit="1" customWidth="1"/>
    <col min="2" max="2" width="10.140625" bestFit="1" customWidth="1"/>
    <col min="3" max="9" width="23.5703125" customWidth="1"/>
  </cols>
  <sheetData>
    <row r="2" spans="1:12" ht="45" x14ac:dyDescent="0.25">
      <c r="A2" s="8" t="s">
        <v>11</v>
      </c>
      <c r="B2" s="9" t="s">
        <v>3</v>
      </c>
      <c r="C2" s="9" t="s">
        <v>122</v>
      </c>
      <c r="D2" s="9" t="s">
        <v>123</v>
      </c>
      <c r="E2" s="23" t="s">
        <v>116</v>
      </c>
      <c r="F2" s="9" t="s">
        <v>124</v>
      </c>
      <c r="G2" s="9" t="s">
        <v>125</v>
      </c>
      <c r="H2" s="9" t="s">
        <v>126</v>
      </c>
      <c r="I2" s="23" t="s">
        <v>120</v>
      </c>
      <c r="J2" s="23" t="s">
        <v>121</v>
      </c>
      <c r="K2" s="9" t="s">
        <v>127</v>
      </c>
      <c r="L2" s="9" t="s">
        <v>128</v>
      </c>
    </row>
    <row r="3" spans="1:12" x14ac:dyDescent="0.25">
      <c r="A3" s="6" t="s">
        <v>12</v>
      </c>
      <c r="B3" s="10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" t="s">
        <v>7</v>
      </c>
      <c r="B4" s="10">
        <v>3</v>
      </c>
      <c r="C4" s="1">
        <v>5</v>
      </c>
      <c r="D4" s="1">
        <v>1.7</v>
      </c>
      <c r="E4" s="1">
        <v>3.3</v>
      </c>
      <c r="F4" s="1">
        <v>4</v>
      </c>
      <c r="G4" s="1">
        <v>4</v>
      </c>
      <c r="H4" s="1">
        <v>3.3</v>
      </c>
      <c r="I4" s="1">
        <v>5</v>
      </c>
      <c r="J4" s="1">
        <v>5</v>
      </c>
      <c r="K4" s="1">
        <v>5</v>
      </c>
      <c r="L4" s="1">
        <v>5</v>
      </c>
    </row>
    <row r="5" spans="1:12" x14ac:dyDescent="0.25">
      <c r="A5" s="7" t="s">
        <v>8</v>
      </c>
      <c r="B5" s="10">
        <v>3</v>
      </c>
      <c r="C5" s="1">
        <v>2</v>
      </c>
      <c r="D5" s="1">
        <v>1</v>
      </c>
      <c r="E5" s="1">
        <v>1.3</v>
      </c>
      <c r="F5" s="1">
        <v>2</v>
      </c>
      <c r="G5" s="1">
        <v>5</v>
      </c>
      <c r="H5" s="1">
        <v>3.3</v>
      </c>
      <c r="I5" s="1">
        <v>5</v>
      </c>
      <c r="J5" s="1">
        <v>5</v>
      </c>
      <c r="K5" s="1">
        <v>1</v>
      </c>
      <c r="L5" s="1">
        <v>5</v>
      </c>
    </row>
    <row r="6" spans="1:12" x14ac:dyDescent="0.25">
      <c r="A6" s="7" t="s">
        <v>9</v>
      </c>
      <c r="B6" s="10">
        <v>3</v>
      </c>
      <c r="C6" s="1">
        <v>2</v>
      </c>
      <c r="D6" s="1">
        <v>1</v>
      </c>
      <c r="E6" s="1">
        <v>1.7</v>
      </c>
      <c r="F6" s="1">
        <v>1.3</v>
      </c>
      <c r="G6" s="1">
        <v>5</v>
      </c>
      <c r="H6" s="1">
        <v>3.3</v>
      </c>
      <c r="I6" s="1">
        <v>5</v>
      </c>
      <c r="J6" s="1">
        <v>1.7</v>
      </c>
      <c r="K6" s="1">
        <v>5</v>
      </c>
      <c r="L6" s="1">
        <v>5</v>
      </c>
    </row>
    <row r="7" spans="1:12" x14ac:dyDescent="0.25">
      <c r="A7" s="6" t="s">
        <v>4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1</v>
      </c>
      <c r="B8" s="10">
        <v>3</v>
      </c>
      <c r="C8" s="1">
        <v>5</v>
      </c>
      <c r="D8" s="1">
        <v>1.7</v>
      </c>
      <c r="E8" s="1">
        <v>5</v>
      </c>
      <c r="F8" s="1">
        <v>5</v>
      </c>
      <c r="G8" s="1">
        <v>4.3</v>
      </c>
      <c r="H8" s="1">
        <v>4</v>
      </c>
      <c r="I8" s="1">
        <v>5</v>
      </c>
      <c r="J8" s="1">
        <v>5</v>
      </c>
      <c r="K8" s="1">
        <v>5</v>
      </c>
      <c r="L8" s="1">
        <v>5</v>
      </c>
    </row>
    <row r="9" spans="1:12" x14ac:dyDescent="0.25">
      <c r="A9" s="5" t="s">
        <v>2</v>
      </c>
      <c r="B9" s="10">
        <v>3</v>
      </c>
      <c r="C9" s="1">
        <v>3</v>
      </c>
      <c r="D9" s="1">
        <v>1.7</v>
      </c>
      <c r="E9" s="1">
        <v>3</v>
      </c>
      <c r="F9" s="1">
        <v>2.7</v>
      </c>
      <c r="G9" s="1">
        <v>3.3</v>
      </c>
      <c r="H9" s="1">
        <v>3.3</v>
      </c>
      <c r="I9" s="1">
        <v>4</v>
      </c>
      <c r="J9" s="1">
        <v>1</v>
      </c>
      <c r="K9" s="1">
        <v>4.3</v>
      </c>
      <c r="L9" s="1">
        <v>5</v>
      </c>
    </row>
    <row r="10" spans="1:12" x14ac:dyDescent="0.25">
      <c r="A10" s="7" t="s">
        <v>10</v>
      </c>
      <c r="B10" s="10">
        <v>3</v>
      </c>
      <c r="C10" s="1">
        <v>0</v>
      </c>
      <c r="D10" s="1">
        <v>0</v>
      </c>
      <c r="E10" s="1">
        <v>0</v>
      </c>
      <c r="F10" s="1">
        <v>2.2999999999999998</v>
      </c>
      <c r="G10" s="1">
        <v>1.7</v>
      </c>
      <c r="H10" s="1">
        <v>1.7</v>
      </c>
      <c r="I10" s="1">
        <v>1</v>
      </c>
      <c r="J10" s="1">
        <v>1</v>
      </c>
      <c r="K10" s="1">
        <v>5</v>
      </c>
      <c r="L10" s="1">
        <v>5</v>
      </c>
    </row>
    <row r="11" spans="1:12" x14ac:dyDescent="0.25">
      <c r="A11" s="6" t="s">
        <v>5</v>
      </c>
      <c r="B11" s="10">
        <v>2</v>
      </c>
      <c r="C11" s="4">
        <f>'Composite Scores'!C12</f>
        <v>3.5745902415062707</v>
      </c>
      <c r="D11" s="4">
        <f>'Composite Scores'!D12</f>
        <v>4.1473431985554248</v>
      </c>
      <c r="E11" s="4">
        <f>'Composite Scores'!E12</f>
        <v>3.5505602486651795</v>
      </c>
      <c r="F11" s="4">
        <f>'Composite Scores'!F12</f>
        <v>4.3776874250446074</v>
      </c>
      <c r="G11" s="4">
        <f>'Composite Scores'!G12</f>
        <v>3.8807155446924821</v>
      </c>
      <c r="H11" s="4">
        <f>'Composite Scores'!H12</f>
        <v>5</v>
      </c>
      <c r="I11" s="4">
        <f>'Composite Scores'!I12</f>
        <v>3.1562482093856841</v>
      </c>
      <c r="J11" s="4">
        <f>'Composite Scores'!J12</f>
        <v>4.1577046728587908</v>
      </c>
      <c r="K11" s="4">
        <f>'Composite Scores'!K12</f>
        <v>3.2051996454067218</v>
      </c>
      <c r="L11" s="4">
        <f>'Composite Scores'!L12</f>
        <v>2.8227674778217176</v>
      </c>
    </row>
    <row r="12" spans="1:12" x14ac:dyDescent="0.25">
      <c r="A12" s="2" t="s">
        <v>6</v>
      </c>
      <c r="B12" s="3"/>
      <c r="C12" s="4">
        <f>(C4*$B$4)+(C5*$B$5)+(C6*$B$6)+(C8*$B$8)+(C9*$B$9)+(C10*$B$10)+(C11*$B$11)</f>
        <v>58.149180483012543</v>
      </c>
      <c r="D12" s="4">
        <f t="shared" ref="D12:L12" si="0">(D4*$B$4)+(D5*$B$5)+(D6*$B$6)+(D8*$B$8)+(D9*$B$9)+(D10*$B$10)+(D11*$B$11)</f>
        <v>29.594686397110848</v>
      </c>
      <c r="E12" s="4">
        <f t="shared" si="0"/>
        <v>50.001120497330355</v>
      </c>
      <c r="F12" s="4">
        <f t="shared" si="0"/>
        <v>60.655374850089217</v>
      </c>
      <c r="G12" s="4">
        <f t="shared" si="0"/>
        <v>77.661431089384962</v>
      </c>
      <c r="H12" s="4">
        <f t="shared" si="0"/>
        <v>66.699999999999989</v>
      </c>
      <c r="I12" s="4">
        <f t="shared" si="0"/>
        <v>81.312496418771374</v>
      </c>
      <c r="J12" s="4">
        <f t="shared" si="0"/>
        <v>64.415409345717578</v>
      </c>
      <c r="K12" s="4">
        <f t="shared" si="0"/>
        <v>82.31039929081345</v>
      </c>
      <c r="L12" s="4">
        <f t="shared" si="0"/>
        <v>95.645534955643441</v>
      </c>
    </row>
    <row r="13" spans="1:12" s="11" customFormat="1" x14ac:dyDescent="0.25">
      <c r="A13" s="12" t="s">
        <v>0</v>
      </c>
      <c r="B13" s="14"/>
      <c r="C13" s="15"/>
      <c r="D13" s="15"/>
      <c r="E13" s="13"/>
      <c r="F13" s="13"/>
      <c r="G13" s="13"/>
      <c r="H13" s="13"/>
      <c r="I13" s="13"/>
      <c r="J13" s="25"/>
      <c r="K13" s="25"/>
      <c r="L13" s="25"/>
    </row>
    <row r="14" spans="1:12" x14ac:dyDescent="0.25">
      <c r="B14" s="17"/>
      <c r="C14" s="18"/>
      <c r="D14" s="18"/>
    </row>
    <row r="15" spans="1:12" x14ac:dyDescent="0.25">
      <c r="B15" s="16"/>
    </row>
    <row r="16" spans="1:12" x14ac:dyDescent="0.25">
      <c r="B16" s="16"/>
    </row>
    <row r="17" spans="2:2" x14ac:dyDescent="0.25">
      <c r="B17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5A89-44FE-4808-8652-C15EBCA06612}">
  <dimension ref="A2:L21"/>
  <sheetViews>
    <sheetView workbookViewId="0">
      <selection activeCell="F13" sqref="F13"/>
    </sheetView>
  </sheetViews>
  <sheetFormatPr defaultRowHeight="15" x14ac:dyDescent="0.25"/>
  <cols>
    <col min="1" max="1" width="53.5703125" bestFit="1" customWidth="1"/>
    <col min="2" max="2" width="10.140625" bestFit="1" customWidth="1"/>
    <col min="3" max="12" width="24.140625" customWidth="1"/>
  </cols>
  <sheetData>
    <row r="2" spans="1:12" ht="45" x14ac:dyDescent="0.25">
      <c r="A2" s="8" t="s">
        <v>11</v>
      </c>
      <c r="B2" s="9" t="s">
        <v>3</v>
      </c>
      <c r="C2" s="9" t="s">
        <v>122</v>
      </c>
      <c r="D2" s="9" t="s">
        <v>123</v>
      </c>
      <c r="E2" s="23" t="s">
        <v>116</v>
      </c>
      <c r="F2" s="9" t="s">
        <v>124</v>
      </c>
      <c r="G2" s="9" t="s">
        <v>125</v>
      </c>
      <c r="H2" s="9" t="s">
        <v>126</v>
      </c>
      <c r="I2" s="23" t="s">
        <v>120</v>
      </c>
      <c r="J2" s="23" t="s">
        <v>121</v>
      </c>
      <c r="K2" s="9" t="s">
        <v>127</v>
      </c>
      <c r="L2" s="9" t="s">
        <v>128</v>
      </c>
    </row>
    <row r="3" spans="1:12" x14ac:dyDescent="0.25">
      <c r="A3" s="6" t="s">
        <v>12</v>
      </c>
      <c r="B3" s="10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" t="s">
        <v>7</v>
      </c>
      <c r="B4" s="10">
        <v>3</v>
      </c>
      <c r="C4" s="1">
        <v>3</v>
      </c>
      <c r="D4" s="1">
        <v>3</v>
      </c>
      <c r="E4" s="1">
        <v>2</v>
      </c>
      <c r="F4" s="1">
        <v>4</v>
      </c>
      <c r="G4" s="1">
        <v>5</v>
      </c>
      <c r="H4" s="1">
        <v>5</v>
      </c>
      <c r="I4" s="1">
        <v>5</v>
      </c>
      <c r="J4" s="1">
        <v>3</v>
      </c>
      <c r="K4" s="1">
        <v>5</v>
      </c>
      <c r="L4" s="1">
        <v>3</v>
      </c>
    </row>
    <row r="5" spans="1:12" x14ac:dyDescent="0.25">
      <c r="A5" s="7" t="s">
        <v>8</v>
      </c>
      <c r="B5" s="10">
        <v>3</v>
      </c>
      <c r="C5" s="1">
        <v>3</v>
      </c>
      <c r="D5" s="1">
        <v>3</v>
      </c>
      <c r="E5" s="1">
        <v>4</v>
      </c>
      <c r="F5" s="1">
        <v>5</v>
      </c>
      <c r="G5" s="1">
        <v>5</v>
      </c>
      <c r="H5" s="1">
        <v>3</v>
      </c>
      <c r="I5" s="1">
        <v>5</v>
      </c>
      <c r="J5" s="1">
        <v>3</v>
      </c>
      <c r="K5" s="1">
        <v>3</v>
      </c>
      <c r="L5" s="1">
        <v>5</v>
      </c>
    </row>
    <row r="6" spans="1:12" x14ac:dyDescent="0.25">
      <c r="A6" s="7" t="s">
        <v>9</v>
      </c>
      <c r="B6" s="10">
        <v>3</v>
      </c>
      <c r="C6" s="1">
        <v>1</v>
      </c>
      <c r="D6" s="1">
        <v>1</v>
      </c>
      <c r="E6" s="1">
        <v>1</v>
      </c>
      <c r="F6" s="1">
        <v>2</v>
      </c>
      <c r="G6" s="1">
        <v>3</v>
      </c>
      <c r="H6" s="1">
        <v>3</v>
      </c>
      <c r="I6" s="1">
        <v>4</v>
      </c>
      <c r="J6" s="1">
        <v>0</v>
      </c>
      <c r="K6" s="1">
        <v>4</v>
      </c>
      <c r="L6" s="1">
        <v>1</v>
      </c>
    </row>
    <row r="7" spans="1:12" x14ac:dyDescent="0.25">
      <c r="A7" s="6" t="s">
        <v>4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1</v>
      </c>
      <c r="B8" s="10">
        <v>3</v>
      </c>
      <c r="C8" s="1">
        <v>5</v>
      </c>
      <c r="D8" s="1">
        <v>5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2" x14ac:dyDescent="0.25">
      <c r="A9" s="5" t="s">
        <v>2</v>
      </c>
      <c r="B9" s="10">
        <v>3</v>
      </c>
      <c r="C9" s="1">
        <v>3</v>
      </c>
      <c r="D9" s="1">
        <v>2</v>
      </c>
      <c r="E9" s="1">
        <v>5</v>
      </c>
      <c r="F9" s="1">
        <v>5</v>
      </c>
      <c r="G9" s="1">
        <v>4</v>
      </c>
      <c r="H9" s="1">
        <v>4</v>
      </c>
      <c r="I9" s="1">
        <v>4</v>
      </c>
      <c r="J9" s="1">
        <v>3</v>
      </c>
      <c r="K9" s="1">
        <v>4</v>
      </c>
      <c r="L9" s="1">
        <v>4</v>
      </c>
    </row>
    <row r="10" spans="1:12" x14ac:dyDescent="0.25">
      <c r="A10" s="7" t="s">
        <v>10</v>
      </c>
      <c r="B10" s="10">
        <v>3</v>
      </c>
      <c r="C10" s="1">
        <v>3</v>
      </c>
      <c r="D10" s="1">
        <v>3</v>
      </c>
      <c r="E10" s="1">
        <v>4</v>
      </c>
      <c r="F10" s="1">
        <v>5</v>
      </c>
      <c r="G10" s="1">
        <v>4</v>
      </c>
      <c r="H10" s="1">
        <v>3</v>
      </c>
      <c r="I10" s="1">
        <v>4</v>
      </c>
      <c r="J10" s="1">
        <v>0</v>
      </c>
      <c r="K10" s="1">
        <v>4</v>
      </c>
      <c r="L10" s="1">
        <v>4</v>
      </c>
    </row>
    <row r="11" spans="1:12" x14ac:dyDescent="0.25">
      <c r="A11" s="6" t="s">
        <v>5</v>
      </c>
      <c r="B11" s="10">
        <v>2</v>
      </c>
      <c r="C11" s="4">
        <f>'Composite Scores'!C12</f>
        <v>3.5745902415062707</v>
      </c>
      <c r="D11" s="4">
        <f>'Composite Scores'!D12</f>
        <v>4.1473431985554248</v>
      </c>
      <c r="E11" s="4">
        <f>'Composite Scores'!E12</f>
        <v>3.5505602486651795</v>
      </c>
      <c r="F11" s="4">
        <f>'Composite Scores'!F12</f>
        <v>4.3776874250446074</v>
      </c>
      <c r="G11" s="4">
        <f>'Composite Scores'!G12</f>
        <v>3.8807155446924821</v>
      </c>
      <c r="H11" s="4">
        <f>'Composite Scores'!H12</f>
        <v>5</v>
      </c>
      <c r="I11" s="4">
        <f>'Composite Scores'!I12</f>
        <v>3.1562482093856841</v>
      </c>
      <c r="J11" s="4">
        <f>'Composite Scores'!J12</f>
        <v>4.1577046728587908</v>
      </c>
      <c r="K11" s="4">
        <f>'Composite Scores'!K12</f>
        <v>3.2051996454067218</v>
      </c>
      <c r="L11" s="4">
        <f>'Composite Scores'!L12</f>
        <v>2.8227674778217176</v>
      </c>
    </row>
    <row r="12" spans="1:12" x14ac:dyDescent="0.25">
      <c r="A12" s="2" t="s">
        <v>6</v>
      </c>
      <c r="B12" s="3"/>
      <c r="C12" s="4">
        <f>(C4*$B$4)+(C5*$B$5)+(C6*$B$6)+(C8*$B$8)+(C9*$B$9)+(C10*$B$10)+(C11*$B$11)</f>
        <v>61.149180483012543</v>
      </c>
      <c r="D12" s="4">
        <f t="shared" ref="D12:L12" si="0">(D4*$B$4)+(D5*$B$5)+(D6*$B$6)+(D8*$B$8)+(D9*$B$9)+(D10*$B$10)+(D11*$B$11)</f>
        <v>59.294686397110851</v>
      </c>
      <c r="E12" s="4">
        <f t="shared" si="0"/>
        <v>70.101120497330356</v>
      </c>
      <c r="F12" s="4">
        <f t="shared" si="0"/>
        <v>86.755374850089211</v>
      </c>
      <c r="G12" s="4">
        <f t="shared" si="0"/>
        <v>85.761431089384971</v>
      </c>
      <c r="H12" s="4">
        <f t="shared" si="0"/>
        <v>79</v>
      </c>
      <c r="I12" s="4">
        <f t="shared" si="0"/>
        <v>87.312496418771374</v>
      </c>
      <c r="J12" s="4">
        <f t="shared" si="0"/>
        <v>50.315409345717583</v>
      </c>
      <c r="K12" s="4">
        <f t="shared" si="0"/>
        <v>81.410399290813444</v>
      </c>
      <c r="L12" s="4">
        <f t="shared" si="0"/>
        <v>71.645534955643441</v>
      </c>
    </row>
    <row r="13" spans="1:12" s="11" customFormat="1" ht="165" x14ac:dyDescent="0.25">
      <c r="A13" s="12" t="s">
        <v>0</v>
      </c>
      <c r="B13" s="14"/>
      <c r="C13" s="15" t="s">
        <v>192</v>
      </c>
      <c r="D13" s="15" t="s">
        <v>193</v>
      </c>
      <c r="E13" s="13" t="s">
        <v>194</v>
      </c>
      <c r="F13" s="13" t="s">
        <v>201</v>
      </c>
      <c r="G13" s="13" t="s">
        <v>195</v>
      </c>
      <c r="H13" s="13" t="s">
        <v>196</v>
      </c>
      <c r="I13" s="13" t="s">
        <v>197</v>
      </c>
      <c r="J13" s="25" t="s">
        <v>198</v>
      </c>
      <c r="K13" s="25" t="s">
        <v>199</v>
      </c>
      <c r="L13" s="25" t="s">
        <v>200</v>
      </c>
    </row>
    <row r="14" spans="1:12" x14ac:dyDescent="0.25">
      <c r="B14" s="17"/>
      <c r="C14" s="18"/>
      <c r="D14" s="18"/>
    </row>
    <row r="15" spans="1:12" x14ac:dyDescent="0.25">
      <c r="B15" s="16"/>
    </row>
    <row r="16" spans="1:12" x14ac:dyDescent="0.25">
      <c r="B16" s="16"/>
    </row>
    <row r="17" spans="2:2" x14ac:dyDescent="0.25">
      <c r="B17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648C-91BF-47BD-AF53-D016F6A3F431}">
  <dimension ref="A2:L23"/>
  <sheetViews>
    <sheetView workbookViewId="0">
      <selection activeCell="F16" sqref="F16"/>
    </sheetView>
  </sheetViews>
  <sheetFormatPr defaultRowHeight="15" x14ac:dyDescent="0.25"/>
  <cols>
    <col min="1" max="1" width="53.5703125" bestFit="1" customWidth="1"/>
    <col min="2" max="2" width="29.42578125" bestFit="1" customWidth="1"/>
    <col min="3" max="7" width="23.5703125" customWidth="1"/>
    <col min="8" max="8" width="31.28515625" customWidth="1"/>
    <col min="9" max="9" width="23.5703125" customWidth="1"/>
    <col min="10" max="10" width="16.85546875" customWidth="1"/>
    <col min="11" max="11" width="16.5703125" customWidth="1"/>
    <col min="12" max="12" width="15.42578125" bestFit="1" customWidth="1"/>
  </cols>
  <sheetData>
    <row r="2" spans="1:12" ht="30" x14ac:dyDescent="0.25">
      <c r="A2" s="8" t="s">
        <v>11</v>
      </c>
      <c r="B2" s="9" t="s">
        <v>3</v>
      </c>
      <c r="C2" s="9" t="s">
        <v>122</v>
      </c>
      <c r="D2" s="9" t="s">
        <v>123</v>
      </c>
      <c r="E2" s="23" t="s">
        <v>116</v>
      </c>
      <c r="F2" s="9" t="s">
        <v>124</v>
      </c>
      <c r="G2" s="9" t="s">
        <v>125</v>
      </c>
      <c r="H2" s="9" t="s">
        <v>126</v>
      </c>
      <c r="I2" s="23" t="s">
        <v>120</v>
      </c>
      <c r="J2" s="23" t="s">
        <v>121</v>
      </c>
      <c r="K2" s="9" t="s">
        <v>127</v>
      </c>
      <c r="L2" s="9" t="s">
        <v>128</v>
      </c>
    </row>
    <row r="3" spans="1:12" x14ac:dyDescent="0.25">
      <c r="A3" s="6" t="s">
        <v>12</v>
      </c>
      <c r="B3" s="10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" t="s">
        <v>7</v>
      </c>
      <c r="B4" s="10">
        <v>3</v>
      </c>
      <c r="C4">
        <v>3.5</v>
      </c>
      <c r="D4">
        <v>3</v>
      </c>
      <c r="E4">
        <v>4.5</v>
      </c>
      <c r="F4">
        <v>4.5</v>
      </c>
      <c r="G4">
        <v>4.5</v>
      </c>
      <c r="H4">
        <v>5</v>
      </c>
      <c r="I4">
        <v>4.5</v>
      </c>
      <c r="J4">
        <v>4.5</v>
      </c>
      <c r="K4" s="1"/>
      <c r="L4" s="1"/>
    </row>
    <row r="5" spans="1:12" x14ac:dyDescent="0.25">
      <c r="A5" s="7" t="s">
        <v>8</v>
      </c>
      <c r="B5" s="10">
        <v>3</v>
      </c>
      <c r="C5">
        <v>3.5</v>
      </c>
      <c r="D5">
        <v>3</v>
      </c>
      <c r="E5">
        <v>4.5</v>
      </c>
      <c r="F5">
        <v>4.5</v>
      </c>
      <c r="G5">
        <v>4.5</v>
      </c>
      <c r="H5">
        <v>4.5</v>
      </c>
      <c r="I5">
        <v>4.5</v>
      </c>
      <c r="J5">
        <v>3</v>
      </c>
      <c r="K5" s="1"/>
      <c r="L5" s="1"/>
    </row>
    <row r="6" spans="1:12" x14ac:dyDescent="0.25">
      <c r="A6" s="7" t="s">
        <v>9</v>
      </c>
      <c r="B6" s="10">
        <v>3</v>
      </c>
      <c r="C6">
        <v>3.5</v>
      </c>
      <c r="D6">
        <v>3.5</v>
      </c>
      <c r="E6">
        <v>3.5</v>
      </c>
      <c r="F6">
        <v>3</v>
      </c>
      <c r="G6">
        <v>4.5</v>
      </c>
      <c r="H6">
        <v>4.5</v>
      </c>
      <c r="I6">
        <v>5</v>
      </c>
      <c r="J6">
        <v>4</v>
      </c>
      <c r="K6" s="1"/>
      <c r="L6" s="1"/>
    </row>
    <row r="7" spans="1:12" x14ac:dyDescent="0.25">
      <c r="A7" s="6" t="s">
        <v>4</v>
      </c>
      <c r="B7" s="10"/>
      <c r="K7" s="1"/>
      <c r="L7" s="1"/>
    </row>
    <row r="8" spans="1:12" x14ac:dyDescent="0.25">
      <c r="A8" s="5" t="s">
        <v>1</v>
      </c>
      <c r="B8" s="10">
        <v>3</v>
      </c>
      <c r="C8">
        <v>4</v>
      </c>
      <c r="D8">
        <v>4</v>
      </c>
      <c r="E8">
        <v>4.5</v>
      </c>
      <c r="F8">
        <v>4.5</v>
      </c>
      <c r="G8">
        <v>4.5</v>
      </c>
      <c r="H8">
        <v>4.5</v>
      </c>
      <c r="I8">
        <v>4.5</v>
      </c>
      <c r="J8">
        <v>4</v>
      </c>
      <c r="K8" s="1"/>
      <c r="L8" s="1"/>
    </row>
    <row r="9" spans="1:12" x14ac:dyDescent="0.25">
      <c r="A9" s="5" t="s">
        <v>2</v>
      </c>
      <c r="B9" s="10">
        <v>3</v>
      </c>
      <c r="C9">
        <v>4.5</v>
      </c>
      <c r="D9">
        <v>4</v>
      </c>
      <c r="E9">
        <v>5</v>
      </c>
      <c r="F9">
        <v>5</v>
      </c>
      <c r="G9">
        <v>5</v>
      </c>
      <c r="H9">
        <v>4</v>
      </c>
      <c r="I9">
        <v>4.5</v>
      </c>
      <c r="J9">
        <v>4.5</v>
      </c>
      <c r="K9" s="1"/>
      <c r="L9" s="1"/>
    </row>
    <row r="10" spans="1:12" x14ac:dyDescent="0.25">
      <c r="A10" s="7" t="s">
        <v>10</v>
      </c>
      <c r="B10" s="10">
        <v>3</v>
      </c>
      <c r="C10">
        <v>4</v>
      </c>
      <c r="D10">
        <v>4</v>
      </c>
      <c r="E10">
        <v>4</v>
      </c>
      <c r="F10">
        <v>5</v>
      </c>
      <c r="G10">
        <v>4</v>
      </c>
      <c r="H10">
        <v>4</v>
      </c>
      <c r="I10">
        <v>4.5</v>
      </c>
      <c r="J10">
        <v>4</v>
      </c>
      <c r="K10" s="1"/>
      <c r="L10" s="1"/>
    </row>
    <row r="11" spans="1:12" x14ac:dyDescent="0.25">
      <c r="A11" s="6" t="s">
        <v>5</v>
      </c>
      <c r="B11" s="10">
        <v>2</v>
      </c>
      <c r="C11" s="4">
        <f>'Composite Scores'!C12</f>
        <v>3.5745902415062707</v>
      </c>
      <c r="D11" s="4">
        <f>'Composite Scores'!D12</f>
        <v>4.1473431985554248</v>
      </c>
      <c r="E11" s="4">
        <f>'Composite Scores'!E12</f>
        <v>3.5505602486651795</v>
      </c>
      <c r="F11" s="4">
        <f>'Composite Scores'!F12</f>
        <v>4.3776874250446074</v>
      </c>
      <c r="G11" s="4">
        <f>'Composite Scores'!G12</f>
        <v>3.8807155446924821</v>
      </c>
      <c r="H11" s="4">
        <f>'Composite Scores'!H12</f>
        <v>5</v>
      </c>
      <c r="I11" s="4">
        <f>'Composite Scores'!I12</f>
        <v>3.1562482093856841</v>
      </c>
      <c r="J11" s="4">
        <f>'Composite Scores'!J12</f>
        <v>4.1577046728587908</v>
      </c>
      <c r="K11" s="4">
        <f>'Composite Scores'!K12</f>
        <v>3.2051996454067218</v>
      </c>
      <c r="L11" s="4">
        <f>'Composite Scores'!L12</f>
        <v>2.8227674778217176</v>
      </c>
    </row>
    <row r="12" spans="1:12" x14ac:dyDescent="0.25">
      <c r="A12" s="2" t="s">
        <v>6</v>
      </c>
      <c r="B12" s="3"/>
      <c r="C12" s="4">
        <f>(C4*$B$4)+(C5*$B$5)+(C6*$B$6)+(C8*$B$8)+(C9*$B$9)+(C10*$B$10)+(C11*$B$11)</f>
        <v>76.149180483012543</v>
      </c>
      <c r="D12" s="4">
        <f t="shared" ref="D12:L12" si="0">(D4*$B$4)+(D5*$B$5)+(D6*$B$6)+(D8*$B$8)+(D9*$B$9)+(D10*$B$10)+(D11*$B$11)</f>
        <v>72.794686397110851</v>
      </c>
      <c r="E12" s="4">
        <f t="shared" si="0"/>
        <v>85.101120497330356</v>
      </c>
      <c r="F12" s="4">
        <f t="shared" si="0"/>
        <v>88.255374850089211</v>
      </c>
      <c r="G12" s="4">
        <f t="shared" si="0"/>
        <v>88.761431089384971</v>
      </c>
      <c r="H12" s="4">
        <f t="shared" si="0"/>
        <v>89.5</v>
      </c>
      <c r="I12" s="4">
        <f t="shared" si="0"/>
        <v>88.812496418771374</v>
      </c>
      <c r="J12" s="4">
        <f t="shared" si="0"/>
        <v>80.315409345717583</v>
      </c>
      <c r="K12" s="4">
        <f t="shared" si="0"/>
        <v>6.4103992908134435</v>
      </c>
      <c r="L12" s="4">
        <f t="shared" si="0"/>
        <v>5.6455349556434351</v>
      </c>
    </row>
    <row r="13" spans="1:12" s="11" customFormat="1" ht="105" x14ac:dyDescent="0.25">
      <c r="A13" s="115" t="s">
        <v>0</v>
      </c>
      <c r="B13" s="115"/>
      <c r="C13" s="80" t="s">
        <v>147</v>
      </c>
      <c r="D13" s="80" t="s">
        <v>152</v>
      </c>
      <c r="E13" s="80" t="s">
        <v>157</v>
      </c>
      <c r="F13" s="80" t="s">
        <v>162</v>
      </c>
      <c r="G13" s="80" t="s">
        <v>166</v>
      </c>
      <c r="H13" s="80" t="s">
        <v>171</v>
      </c>
      <c r="I13" s="80" t="s">
        <v>175</v>
      </c>
      <c r="J13" s="80" t="s">
        <v>178</v>
      </c>
      <c r="K13" s="1" t="s">
        <v>179</v>
      </c>
      <c r="L13" s="1" t="s">
        <v>180</v>
      </c>
    </row>
    <row r="14" spans="1:12" ht="90" x14ac:dyDescent="0.25">
      <c r="A14" s="115"/>
      <c r="B14" s="115"/>
      <c r="C14" s="80" t="s">
        <v>148</v>
      </c>
      <c r="D14" s="80" t="s">
        <v>153</v>
      </c>
      <c r="E14" s="80" t="s">
        <v>158</v>
      </c>
      <c r="F14" s="80" t="s">
        <v>163</v>
      </c>
      <c r="G14" s="80" t="s">
        <v>167</v>
      </c>
      <c r="H14" s="80" t="s">
        <v>172</v>
      </c>
      <c r="I14" s="80" t="s">
        <v>176</v>
      </c>
      <c r="J14" s="80"/>
      <c r="K14" s="1"/>
      <c r="L14" s="1"/>
    </row>
    <row r="15" spans="1:12" ht="75" x14ac:dyDescent="0.25">
      <c r="A15" s="115"/>
      <c r="B15" s="115"/>
      <c r="C15" s="80" t="s">
        <v>147</v>
      </c>
      <c r="D15" s="80" t="s">
        <v>154</v>
      </c>
      <c r="E15" s="80" t="s">
        <v>159</v>
      </c>
      <c r="F15" s="80" t="s">
        <v>164</v>
      </c>
      <c r="G15" s="80" t="s">
        <v>168</v>
      </c>
      <c r="H15" s="80" t="s">
        <v>173</v>
      </c>
      <c r="I15" s="80" t="s">
        <v>177</v>
      </c>
      <c r="J15" s="80"/>
      <c r="K15" s="1"/>
      <c r="L15" s="1"/>
    </row>
    <row r="16" spans="1:12" ht="60" x14ac:dyDescent="0.25">
      <c r="A16" s="115"/>
      <c r="B16" s="115"/>
      <c r="C16" s="80" t="s">
        <v>149</v>
      </c>
      <c r="D16" s="80" t="s">
        <v>155</v>
      </c>
      <c r="E16" s="80" t="s">
        <v>160</v>
      </c>
      <c r="F16" s="80" t="s">
        <v>165</v>
      </c>
      <c r="G16" s="80" t="s">
        <v>169</v>
      </c>
      <c r="H16" s="80" t="s">
        <v>174</v>
      </c>
      <c r="I16" s="80"/>
      <c r="J16" s="1"/>
      <c r="K16" s="1"/>
      <c r="L16" s="1"/>
    </row>
    <row r="17" spans="1:12" ht="60" x14ac:dyDescent="0.25">
      <c r="A17" s="115"/>
      <c r="B17" s="115"/>
      <c r="C17" s="80" t="s">
        <v>150</v>
      </c>
      <c r="D17" s="80" t="s">
        <v>156</v>
      </c>
      <c r="E17" s="80" t="s">
        <v>161</v>
      </c>
      <c r="F17" s="1"/>
      <c r="G17" s="80" t="s">
        <v>170</v>
      </c>
      <c r="H17" s="80"/>
      <c r="I17" s="1"/>
      <c r="J17" s="1"/>
      <c r="K17" s="1"/>
      <c r="L17" s="1"/>
    </row>
    <row r="18" spans="1:12" ht="30" x14ac:dyDescent="0.25">
      <c r="A18" s="115"/>
      <c r="B18" s="115"/>
      <c r="C18" s="80" t="s">
        <v>151</v>
      </c>
      <c r="D18" s="80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 t="s">
        <v>181</v>
      </c>
      <c r="C19" s="1">
        <v>6</v>
      </c>
      <c r="D19" s="1">
        <v>4</v>
      </c>
      <c r="E19" s="1">
        <v>7</v>
      </c>
      <c r="F19" s="1">
        <v>2</v>
      </c>
      <c r="G19" s="1">
        <v>5</v>
      </c>
      <c r="H19" s="1">
        <v>1</v>
      </c>
      <c r="I19" s="1">
        <v>9</v>
      </c>
      <c r="J19" s="1">
        <v>3</v>
      </c>
      <c r="K19" s="1"/>
      <c r="L19" s="1"/>
    </row>
    <row r="20" spans="1:12" x14ac:dyDescent="0.25">
      <c r="A20" s="1"/>
      <c r="B20" s="1" t="s">
        <v>182</v>
      </c>
      <c r="C20" s="1">
        <v>1.1178745879109808</v>
      </c>
      <c r="D20" s="1">
        <v>0.96349479699829921</v>
      </c>
      <c r="E20" s="1">
        <v>1.1254403004924918</v>
      </c>
      <c r="F20" s="1">
        <v>0.91279783255281588</v>
      </c>
      <c r="G20" s="1">
        <v>1.0296924747910337</v>
      </c>
      <c r="H20" s="1">
        <v>0.79918871863488716</v>
      </c>
      <c r="I20" s="1">
        <v>1.2660422527264374</v>
      </c>
      <c r="J20" s="1">
        <v>0.96109365806082392</v>
      </c>
      <c r="K20" s="1"/>
      <c r="L20" s="1"/>
    </row>
    <row r="21" spans="1:12" x14ac:dyDescent="0.25">
      <c r="A21" s="1"/>
      <c r="B21" s="1" t="s">
        <v>183</v>
      </c>
      <c r="C21" s="1">
        <v>554747.5</v>
      </c>
      <c r="D21" s="1">
        <v>478136.22</v>
      </c>
      <c r="E21" s="1">
        <v>558502</v>
      </c>
      <c r="F21" s="1">
        <v>452977.75</v>
      </c>
      <c r="G21" s="1">
        <v>510986.95</v>
      </c>
      <c r="H21" s="1">
        <v>396599</v>
      </c>
      <c r="I21" s="1">
        <v>628276</v>
      </c>
      <c r="J21" s="1">
        <v>476944.64999999997</v>
      </c>
      <c r="K21" s="1">
        <v>618680.64999999991</v>
      </c>
      <c r="L21" s="1">
        <v>702500.3</v>
      </c>
    </row>
    <row r="22" spans="1:12" x14ac:dyDescent="0.25">
      <c r="A22" s="1"/>
      <c r="B22" s="1" t="s">
        <v>184</v>
      </c>
      <c r="C22" s="1">
        <v>496252</v>
      </c>
      <c r="D22" s="1">
        <v>496252</v>
      </c>
      <c r="E22" s="1">
        <v>496252</v>
      </c>
      <c r="F22" s="1">
        <v>496252</v>
      </c>
      <c r="G22" s="1">
        <v>496252</v>
      </c>
      <c r="H22" s="1">
        <v>496252</v>
      </c>
      <c r="I22" s="1">
        <v>496252</v>
      </c>
      <c r="J22" s="1">
        <v>496252</v>
      </c>
      <c r="K22" s="1">
        <v>496252</v>
      </c>
      <c r="L22" s="1">
        <v>496252</v>
      </c>
    </row>
    <row r="23" spans="1:12" x14ac:dyDescent="0.25">
      <c r="A23" s="1"/>
      <c r="B23" s="1" t="s">
        <v>185</v>
      </c>
      <c r="C23" s="1" t="s">
        <v>186</v>
      </c>
      <c r="D23" s="1" t="s">
        <v>186</v>
      </c>
      <c r="E23" s="1" t="s">
        <v>186</v>
      </c>
      <c r="F23" s="1" t="s">
        <v>186</v>
      </c>
      <c r="G23" s="1" t="s">
        <v>186</v>
      </c>
      <c r="H23" s="1" t="s">
        <v>186</v>
      </c>
      <c r="I23" s="1" t="s">
        <v>187</v>
      </c>
      <c r="J23" s="1" t="s">
        <v>186</v>
      </c>
      <c r="K23" s="1" t="s">
        <v>187</v>
      </c>
      <c r="L23" s="1" t="s">
        <v>187</v>
      </c>
    </row>
  </sheetData>
  <mergeCells count="1">
    <mergeCell ref="A13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6830-1B65-441B-8562-766A76FB6548}">
  <dimension ref="A1:Z147"/>
  <sheetViews>
    <sheetView zoomScaleNormal="100" workbookViewId="0">
      <pane xSplit="6" ySplit="1" topLeftCell="G68" activePane="bottomRight" state="frozen"/>
      <selection pane="topRight" activeCell="G1" sqref="G1"/>
      <selection pane="bottomLeft" activeCell="A2" sqref="A2"/>
      <selection pane="bottomRight" activeCell="L86" sqref="L86"/>
    </sheetView>
  </sheetViews>
  <sheetFormatPr defaultRowHeight="15" x14ac:dyDescent="0.25"/>
  <cols>
    <col min="1" max="1" width="10.28515625" bestFit="1" customWidth="1"/>
    <col min="2" max="2" width="58.85546875" bestFit="1" customWidth="1"/>
    <col min="3" max="3" width="15" bestFit="1" customWidth="1"/>
    <col min="4" max="4" width="18.140625" bestFit="1" customWidth="1"/>
    <col min="5" max="5" width="18.140625" customWidth="1"/>
    <col min="6" max="6" width="22.85546875" bestFit="1" customWidth="1"/>
    <col min="7" max="7" width="16.7109375" bestFit="1" customWidth="1"/>
    <col min="8" max="8" width="18.140625" bestFit="1" customWidth="1"/>
    <col min="9" max="9" width="16.7109375" bestFit="1" customWidth="1"/>
    <col min="10" max="10" width="18.140625" bestFit="1" customWidth="1"/>
    <col min="11" max="11" width="13.5703125" bestFit="1" customWidth="1"/>
    <col min="12" max="12" width="18.140625" bestFit="1" customWidth="1"/>
    <col min="13" max="13" width="13.5703125" bestFit="1" customWidth="1"/>
    <col min="14" max="14" width="18.140625" bestFit="1" customWidth="1"/>
    <col min="15" max="15" width="13.5703125" bestFit="1" customWidth="1"/>
    <col min="16" max="16" width="18.140625" bestFit="1" customWidth="1"/>
    <col min="17" max="17" width="13.5703125" bestFit="1" customWidth="1"/>
    <col min="18" max="18" width="18.140625" bestFit="1" customWidth="1"/>
    <col min="19" max="19" width="14.42578125" bestFit="1" customWidth="1"/>
    <col min="20" max="20" width="18.140625" bestFit="1" customWidth="1"/>
    <col min="21" max="21" width="15.140625" bestFit="1" customWidth="1"/>
    <col min="22" max="22" width="18.140625" bestFit="1" customWidth="1"/>
    <col min="23" max="23" width="13.5703125" bestFit="1" customWidth="1"/>
    <col min="24" max="24" width="17.7109375" bestFit="1" customWidth="1"/>
    <col min="25" max="25" width="13.5703125" bestFit="1" customWidth="1"/>
    <col min="26" max="26" width="18.140625" bestFit="1" customWidth="1"/>
  </cols>
  <sheetData>
    <row r="1" spans="1:26" s="24" customFormat="1" ht="48" customHeight="1" thickBot="1" x14ac:dyDescent="0.3">
      <c r="A1" s="34" t="s">
        <v>13</v>
      </c>
      <c r="B1" s="34" t="s">
        <v>14</v>
      </c>
      <c r="C1" s="35" t="s">
        <v>15</v>
      </c>
      <c r="D1" s="35" t="s">
        <v>16</v>
      </c>
      <c r="E1" s="122" t="s">
        <v>143</v>
      </c>
      <c r="F1" s="123"/>
      <c r="G1" s="120" t="s">
        <v>116</v>
      </c>
      <c r="H1" s="120"/>
      <c r="I1" s="120" t="s">
        <v>120</v>
      </c>
      <c r="J1" s="120"/>
      <c r="K1" s="120" t="s">
        <v>121</v>
      </c>
      <c r="L1" s="120"/>
      <c r="M1" s="120" t="s">
        <v>122</v>
      </c>
      <c r="N1" s="120"/>
      <c r="O1" s="120" t="s">
        <v>123</v>
      </c>
      <c r="P1" s="120"/>
      <c r="Q1" s="120" t="s">
        <v>124</v>
      </c>
      <c r="R1" s="120"/>
      <c r="S1" s="120" t="s">
        <v>125</v>
      </c>
      <c r="T1" s="120"/>
      <c r="U1" s="120" t="s">
        <v>126</v>
      </c>
      <c r="V1" s="120"/>
      <c r="W1" s="120" t="s">
        <v>127</v>
      </c>
      <c r="X1" s="120"/>
      <c r="Y1" s="120" t="s">
        <v>128</v>
      </c>
      <c r="Z1" s="120"/>
    </row>
    <row r="2" spans="1:26" x14ac:dyDescent="0.25">
      <c r="A2" s="36"/>
      <c r="B2" s="36"/>
      <c r="C2" s="37"/>
      <c r="D2" s="37"/>
      <c r="E2" s="57" t="s">
        <v>117</v>
      </c>
      <c r="F2" s="57" t="s">
        <v>118</v>
      </c>
      <c r="G2" s="54" t="s">
        <v>117</v>
      </c>
      <c r="H2" s="26" t="s">
        <v>118</v>
      </c>
      <c r="I2" s="27" t="s">
        <v>117</v>
      </c>
      <c r="J2" s="27" t="s">
        <v>118</v>
      </c>
      <c r="K2" s="27" t="s">
        <v>117</v>
      </c>
      <c r="L2" s="27" t="s">
        <v>118</v>
      </c>
      <c r="M2" s="27" t="s">
        <v>117</v>
      </c>
      <c r="N2" s="27" t="s">
        <v>118</v>
      </c>
      <c r="O2" s="27" t="s">
        <v>117</v>
      </c>
      <c r="P2" s="27" t="s">
        <v>118</v>
      </c>
      <c r="Q2" s="27" t="s">
        <v>117</v>
      </c>
      <c r="R2" s="27" t="s">
        <v>118</v>
      </c>
      <c r="S2" s="27" t="s">
        <v>117</v>
      </c>
      <c r="T2" s="27" t="s">
        <v>118</v>
      </c>
      <c r="U2" s="27" t="s">
        <v>117</v>
      </c>
      <c r="V2" s="27" t="s">
        <v>118</v>
      </c>
      <c r="W2" s="27" t="s">
        <v>117</v>
      </c>
      <c r="X2" s="27" t="s">
        <v>118</v>
      </c>
      <c r="Y2" s="27" t="s">
        <v>117</v>
      </c>
      <c r="Z2" s="27" t="s">
        <v>118</v>
      </c>
    </row>
    <row r="3" spans="1:26" x14ac:dyDescent="0.25">
      <c r="A3" s="38" t="s">
        <v>17</v>
      </c>
      <c r="B3" s="39" t="s">
        <v>18</v>
      </c>
      <c r="C3" s="40" t="s">
        <v>19</v>
      </c>
      <c r="D3" s="41">
        <v>1</v>
      </c>
      <c r="E3" s="60">
        <v>5000</v>
      </c>
      <c r="F3" s="60">
        <f>E3*D3</f>
        <v>5000</v>
      </c>
      <c r="G3" s="55">
        <v>4800</v>
      </c>
      <c r="H3" s="28">
        <f>G3*D3</f>
        <v>4800</v>
      </c>
      <c r="I3" s="43">
        <v>12000</v>
      </c>
      <c r="J3" s="28">
        <f>I3*D3</f>
        <v>12000</v>
      </c>
      <c r="K3" s="43">
        <v>1473</v>
      </c>
      <c r="L3" s="28">
        <f>K3*D3</f>
        <v>1473</v>
      </c>
      <c r="M3" s="42">
        <v>4430</v>
      </c>
      <c r="N3" s="28">
        <f>M3*D3</f>
        <v>4430</v>
      </c>
      <c r="O3" s="42">
        <v>5325.7</v>
      </c>
      <c r="P3" s="28">
        <f>O3*D3</f>
        <v>5325.7</v>
      </c>
      <c r="Q3" s="42">
        <v>3555</v>
      </c>
      <c r="R3" s="28">
        <f>Q3*D3</f>
        <v>3555</v>
      </c>
      <c r="S3" s="42">
        <v>9000</v>
      </c>
      <c r="T3" s="28">
        <f>S3*D3</f>
        <v>9000</v>
      </c>
      <c r="U3" s="42">
        <v>8060.68</v>
      </c>
      <c r="V3" s="28">
        <f>U3*D3</f>
        <v>8060.68</v>
      </c>
      <c r="W3" s="42">
        <v>3000</v>
      </c>
      <c r="X3" s="28">
        <f>W3*D3</f>
        <v>3000</v>
      </c>
      <c r="Y3" s="42">
        <v>25000</v>
      </c>
      <c r="Z3" s="28">
        <f>Y3*D3</f>
        <v>25000</v>
      </c>
    </row>
    <row r="4" spans="1:26" x14ac:dyDescent="0.25">
      <c r="A4" s="38" t="s">
        <v>20</v>
      </c>
      <c r="B4" s="93" t="s">
        <v>21</v>
      </c>
      <c r="C4" s="40" t="s">
        <v>22</v>
      </c>
      <c r="D4" s="41">
        <v>49</v>
      </c>
      <c r="E4" s="60">
        <v>250</v>
      </c>
      <c r="F4" s="94">
        <f t="shared" ref="F4:F35" si="0">E4*D4</f>
        <v>12250</v>
      </c>
      <c r="G4" s="55">
        <v>60</v>
      </c>
      <c r="H4" s="28">
        <f t="shared" ref="H4:H52" si="1">G4*D4</f>
        <v>2940</v>
      </c>
      <c r="I4" s="43">
        <v>190</v>
      </c>
      <c r="J4" s="28">
        <f t="shared" ref="J4:J35" si="2">I4*D4</f>
        <v>9310</v>
      </c>
      <c r="K4" s="43">
        <v>102.15</v>
      </c>
      <c r="L4" s="28">
        <f t="shared" ref="L4:L35" si="3">K4*D4</f>
        <v>5005.3500000000004</v>
      </c>
      <c r="M4" s="42">
        <v>35.1</v>
      </c>
      <c r="N4" s="28">
        <f t="shared" ref="N4:N35" si="4">M4*D4</f>
        <v>1719.9</v>
      </c>
      <c r="O4" s="42">
        <v>44.1</v>
      </c>
      <c r="P4" s="28">
        <f t="shared" ref="P4:P35" si="5">O4*D4</f>
        <v>2160.9</v>
      </c>
      <c r="Q4" s="42">
        <v>54</v>
      </c>
      <c r="R4" s="95">
        <f t="shared" ref="R4:R35" si="6">Q4*D4</f>
        <v>2646</v>
      </c>
      <c r="S4" s="42">
        <v>37</v>
      </c>
      <c r="T4" s="96">
        <f t="shared" ref="T4:T35" si="7">S4*D4</f>
        <v>1813</v>
      </c>
      <c r="U4" s="42">
        <v>216.5</v>
      </c>
      <c r="V4" s="28">
        <f t="shared" ref="V4:V35" si="8">U4*D4</f>
        <v>10608.5</v>
      </c>
      <c r="W4" s="42">
        <v>80</v>
      </c>
      <c r="X4" s="28">
        <f t="shared" ref="X4:X35" si="9">W4*D4</f>
        <v>3920</v>
      </c>
      <c r="Y4" s="42">
        <v>100</v>
      </c>
      <c r="Z4" s="28">
        <f t="shared" ref="Z4:Z35" si="10">Y4*D4</f>
        <v>4900</v>
      </c>
    </row>
    <row r="5" spans="1:26" x14ac:dyDescent="0.25">
      <c r="A5" s="38" t="s">
        <v>23</v>
      </c>
      <c r="B5" s="39" t="s">
        <v>24</v>
      </c>
      <c r="C5" s="40" t="s">
        <v>22</v>
      </c>
      <c r="D5" s="41">
        <v>40</v>
      </c>
      <c r="E5" s="60">
        <v>35</v>
      </c>
      <c r="F5" s="60">
        <f t="shared" si="0"/>
        <v>1400</v>
      </c>
      <c r="G5" s="55">
        <v>37</v>
      </c>
      <c r="H5" s="28">
        <f t="shared" si="1"/>
        <v>1480</v>
      </c>
      <c r="I5" s="43">
        <v>75</v>
      </c>
      <c r="J5" s="28">
        <f t="shared" si="2"/>
        <v>3000</v>
      </c>
      <c r="K5" s="43">
        <v>41.85</v>
      </c>
      <c r="L5" s="28">
        <f t="shared" si="3"/>
        <v>1674</v>
      </c>
      <c r="M5" s="42">
        <v>43.1</v>
      </c>
      <c r="N5" s="28">
        <f t="shared" si="4"/>
        <v>1724</v>
      </c>
      <c r="O5" s="42">
        <v>13.5</v>
      </c>
      <c r="P5" s="28">
        <f t="shared" si="5"/>
        <v>540</v>
      </c>
      <c r="Q5" s="42">
        <v>50</v>
      </c>
      <c r="R5" s="28">
        <f t="shared" si="6"/>
        <v>2000</v>
      </c>
      <c r="S5" s="42">
        <v>26</v>
      </c>
      <c r="T5" s="28">
        <f t="shared" si="7"/>
        <v>1040</v>
      </c>
      <c r="U5" s="42">
        <v>22</v>
      </c>
      <c r="V5" s="28">
        <f t="shared" si="8"/>
        <v>880</v>
      </c>
      <c r="W5" s="42">
        <v>65</v>
      </c>
      <c r="X5" s="28">
        <f t="shared" si="9"/>
        <v>2600</v>
      </c>
      <c r="Y5" s="42">
        <v>100</v>
      </c>
      <c r="Z5" s="28">
        <f t="shared" si="10"/>
        <v>4000</v>
      </c>
    </row>
    <row r="6" spans="1:26" x14ac:dyDescent="0.25">
      <c r="A6" s="38" t="s">
        <v>25</v>
      </c>
      <c r="B6" s="39" t="s">
        <v>26</v>
      </c>
      <c r="C6" s="40" t="s">
        <v>27</v>
      </c>
      <c r="D6" s="41">
        <v>223</v>
      </c>
      <c r="E6" s="60">
        <v>15</v>
      </c>
      <c r="F6" s="60">
        <f t="shared" si="0"/>
        <v>3345</v>
      </c>
      <c r="G6" s="55">
        <v>19</v>
      </c>
      <c r="H6" s="28">
        <f t="shared" si="1"/>
        <v>4237</v>
      </c>
      <c r="I6" s="43">
        <v>35</v>
      </c>
      <c r="J6" s="28">
        <f t="shared" si="2"/>
        <v>7805</v>
      </c>
      <c r="K6" s="43">
        <v>23.3</v>
      </c>
      <c r="L6" s="28">
        <f t="shared" si="3"/>
        <v>5195.9000000000005</v>
      </c>
      <c r="M6" s="42">
        <v>18.5</v>
      </c>
      <c r="N6" s="28">
        <f t="shared" si="4"/>
        <v>4125.5</v>
      </c>
      <c r="O6" s="42">
        <v>36.32</v>
      </c>
      <c r="P6" s="28">
        <f t="shared" si="5"/>
        <v>8099.36</v>
      </c>
      <c r="Q6" s="42">
        <v>22</v>
      </c>
      <c r="R6" s="28">
        <f t="shared" si="6"/>
        <v>4906</v>
      </c>
      <c r="S6" s="42">
        <v>52</v>
      </c>
      <c r="T6" s="28">
        <f t="shared" si="7"/>
        <v>11596</v>
      </c>
      <c r="U6" s="42">
        <v>16</v>
      </c>
      <c r="V6" s="28">
        <f t="shared" si="8"/>
        <v>3568</v>
      </c>
      <c r="W6" s="42">
        <v>45</v>
      </c>
      <c r="X6" s="28">
        <f t="shared" si="9"/>
        <v>10035</v>
      </c>
      <c r="Y6" s="42">
        <v>75</v>
      </c>
      <c r="Z6" s="28">
        <f t="shared" si="10"/>
        <v>16725</v>
      </c>
    </row>
    <row r="7" spans="1:26" x14ac:dyDescent="0.25">
      <c r="A7" s="38" t="s">
        <v>25</v>
      </c>
      <c r="B7" s="39" t="s">
        <v>28</v>
      </c>
      <c r="C7" s="40" t="s">
        <v>27</v>
      </c>
      <c r="D7" s="41">
        <v>24</v>
      </c>
      <c r="E7" s="60">
        <v>8</v>
      </c>
      <c r="F7" s="60">
        <f t="shared" si="0"/>
        <v>192</v>
      </c>
      <c r="G7" s="55">
        <v>18</v>
      </c>
      <c r="H7" s="28">
        <f t="shared" si="1"/>
        <v>432</v>
      </c>
      <c r="I7" s="43">
        <v>18</v>
      </c>
      <c r="J7" s="28">
        <f t="shared" si="2"/>
        <v>432</v>
      </c>
      <c r="K7" s="43">
        <v>34.15</v>
      </c>
      <c r="L7" s="28">
        <f t="shared" si="3"/>
        <v>819.59999999999991</v>
      </c>
      <c r="M7" s="42">
        <v>78.5</v>
      </c>
      <c r="N7" s="28">
        <f t="shared" si="4"/>
        <v>1884</v>
      </c>
      <c r="O7" s="42">
        <v>32.4</v>
      </c>
      <c r="P7" s="28">
        <f t="shared" si="5"/>
        <v>777.59999999999991</v>
      </c>
      <c r="Q7" s="42">
        <v>20</v>
      </c>
      <c r="R7" s="28">
        <f t="shared" si="6"/>
        <v>480</v>
      </c>
      <c r="S7" s="42">
        <v>143</v>
      </c>
      <c r="T7" s="28">
        <f t="shared" si="7"/>
        <v>3432</v>
      </c>
      <c r="U7" s="42">
        <v>34.5</v>
      </c>
      <c r="V7" s="28">
        <f t="shared" si="8"/>
        <v>828</v>
      </c>
      <c r="W7" s="42">
        <v>45</v>
      </c>
      <c r="X7" s="28">
        <f t="shared" si="9"/>
        <v>1080</v>
      </c>
      <c r="Y7" s="42">
        <v>85</v>
      </c>
      <c r="Z7" s="28">
        <f t="shared" si="10"/>
        <v>2040</v>
      </c>
    </row>
    <row r="8" spans="1:26" x14ac:dyDescent="0.25">
      <c r="A8" s="38" t="s">
        <v>29</v>
      </c>
      <c r="B8" s="39" t="s">
        <v>30</v>
      </c>
      <c r="C8" s="40" t="s">
        <v>31</v>
      </c>
      <c r="D8" s="41">
        <v>100</v>
      </c>
      <c r="E8" s="60">
        <v>35</v>
      </c>
      <c r="F8" s="60">
        <f t="shared" si="0"/>
        <v>3500</v>
      </c>
      <c r="G8" s="55">
        <v>150</v>
      </c>
      <c r="H8" s="28">
        <f t="shared" si="1"/>
        <v>15000</v>
      </c>
      <c r="I8" s="43">
        <v>110</v>
      </c>
      <c r="J8" s="28">
        <f t="shared" si="2"/>
        <v>11000</v>
      </c>
      <c r="K8" s="43">
        <v>25.3</v>
      </c>
      <c r="L8" s="28">
        <f t="shared" si="3"/>
        <v>2530</v>
      </c>
      <c r="M8" s="42">
        <v>74.7</v>
      </c>
      <c r="N8" s="28">
        <f t="shared" si="4"/>
        <v>7470</v>
      </c>
      <c r="O8" s="42">
        <v>33.29</v>
      </c>
      <c r="P8" s="28">
        <f t="shared" si="5"/>
        <v>3329</v>
      </c>
      <c r="Q8" s="42">
        <v>68</v>
      </c>
      <c r="R8" s="28">
        <f t="shared" si="6"/>
        <v>6800</v>
      </c>
      <c r="S8" s="42">
        <v>24</v>
      </c>
      <c r="T8" s="28">
        <f t="shared" si="7"/>
        <v>2400</v>
      </c>
      <c r="U8" s="42">
        <v>41</v>
      </c>
      <c r="V8" s="28">
        <f t="shared" si="8"/>
        <v>4100</v>
      </c>
      <c r="W8" s="42">
        <v>160</v>
      </c>
      <c r="X8" s="28">
        <f t="shared" si="9"/>
        <v>16000</v>
      </c>
      <c r="Y8" s="42">
        <v>125</v>
      </c>
      <c r="Z8" s="28">
        <f t="shared" si="10"/>
        <v>12500</v>
      </c>
    </row>
    <row r="9" spans="1:26" x14ac:dyDescent="0.25">
      <c r="A9" s="38" t="s">
        <v>32</v>
      </c>
      <c r="B9" s="39" t="s">
        <v>33</v>
      </c>
      <c r="C9" s="40" t="s">
        <v>34</v>
      </c>
      <c r="D9" s="41">
        <v>10</v>
      </c>
      <c r="E9" s="60">
        <v>150</v>
      </c>
      <c r="F9" s="60">
        <f t="shared" si="0"/>
        <v>1500</v>
      </c>
      <c r="G9" s="55">
        <v>400</v>
      </c>
      <c r="H9" s="28">
        <f t="shared" si="1"/>
        <v>4000</v>
      </c>
      <c r="I9" s="43">
        <v>780</v>
      </c>
      <c r="J9" s="28">
        <f t="shared" si="2"/>
        <v>7800</v>
      </c>
      <c r="K9" s="43">
        <v>1115.7</v>
      </c>
      <c r="L9" s="28">
        <f t="shared" si="3"/>
        <v>11157</v>
      </c>
      <c r="M9" s="42">
        <v>480</v>
      </c>
      <c r="N9" s="28">
        <f t="shared" si="4"/>
        <v>4800</v>
      </c>
      <c r="O9" s="42">
        <v>371.52</v>
      </c>
      <c r="P9" s="28">
        <f t="shared" si="5"/>
        <v>3715.2</v>
      </c>
      <c r="Q9" s="42">
        <v>325</v>
      </c>
      <c r="R9" s="28">
        <f t="shared" si="6"/>
        <v>3250</v>
      </c>
      <c r="S9" s="42">
        <v>425</v>
      </c>
      <c r="T9" s="28">
        <f t="shared" si="7"/>
        <v>4250</v>
      </c>
      <c r="U9" s="42">
        <v>549</v>
      </c>
      <c r="V9" s="28">
        <f t="shared" si="8"/>
        <v>5490</v>
      </c>
      <c r="W9" s="42">
        <v>600</v>
      </c>
      <c r="X9" s="28">
        <f t="shared" si="9"/>
        <v>6000</v>
      </c>
      <c r="Y9" s="42">
        <v>1200</v>
      </c>
      <c r="Z9" s="28">
        <f t="shared" si="10"/>
        <v>12000</v>
      </c>
    </row>
    <row r="10" spans="1:26" x14ac:dyDescent="0.25">
      <c r="A10" s="38" t="s">
        <v>35</v>
      </c>
      <c r="B10" s="97" t="s">
        <v>36</v>
      </c>
      <c r="C10" s="40" t="s">
        <v>31</v>
      </c>
      <c r="D10" s="41">
        <v>283</v>
      </c>
      <c r="E10" s="60">
        <v>90</v>
      </c>
      <c r="F10" s="98">
        <f t="shared" si="0"/>
        <v>25470</v>
      </c>
      <c r="G10" s="55">
        <v>120</v>
      </c>
      <c r="H10" s="28">
        <f t="shared" si="1"/>
        <v>33960</v>
      </c>
      <c r="I10" s="43">
        <v>208</v>
      </c>
      <c r="J10" s="99">
        <f t="shared" si="2"/>
        <v>58864</v>
      </c>
      <c r="K10" s="43">
        <v>75.5</v>
      </c>
      <c r="L10" s="28">
        <f t="shared" si="3"/>
        <v>21366.5</v>
      </c>
      <c r="M10" s="42">
        <v>194</v>
      </c>
      <c r="N10" s="28">
        <f t="shared" si="4"/>
        <v>54902</v>
      </c>
      <c r="O10" s="42">
        <v>103.01</v>
      </c>
      <c r="P10" s="28">
        <f t="shared" si="5"/>
        <v>29151.83</v>
      </c>
      <c r="Q10" s="42">
        <v>72</v>
      </c>
      <c r="R10" s="28">
        <f t="shared" si="6"/>
        <v>20376</v>
      </c>
      <c r="S10" s="42">
        <v>68</v>
      </c>
      <c r="T10" s="28">
        <f t="shared" si="7"/>
        <v>19244</v>
      </c>
      <c r="U10" s="42">
        <v>32.5</v>
      </c>
      <c r="V10" s="28">
        <f t="shared" si="8"/>
        <v>9197.5</v>
      </c>
      <c r="W10" s="42">
        <v>80</v>
      </c>
      <c r="X10" s="28">
        <f t="shared" si="9"/>
        <v>22640</v>
      </c>
      <c r="Y10" s="42">
        <v>180</v>
      </c>
      <c r="Z10" s="28">
        <f t="shared" si="10"/>
        <v>50940</v>
      </c>
    </row>
    <row r="11" spans="1:26" x14ac:dyDescent="0.25">
      <c r="A11" s="38" t="s">
        <v>37</v>
      </c>
      <c r="B11" s="39" t="s">
        <v>38</v>
      </c>
      <c r="C11" s="40" t="s">
        <v>22</v>
      </c>
      <c r="D11" s="41">
        <v>350</v>
      </c>
      <c r="E11" s="60">
        <v>10</v>
      </c>
      <c r="F11" s="60">
        <f t="shared" si="0"/>
        <v>3500</v>
      </c>
      <c r="G11" s="55">
        <v>5.5</v>
      </c>
      <c r="H11" s="28">
        <f t="shared" si="1"/>
        <v>1925</v>
      </c>
      <c r="I11" s="43">
        <v>6</v>
      </c>
      <c r="J11" s="28">
        <f t="shared" si="2"/>
        <v>2100</v>
      </c>
      <c r="K11" s="43">
        <v>3.6</v>
      </c>
      <c r="L11" s="28">
        <f t="shared" si="3"/>
        <v>1260</v>
      </c>
      <c r="M11" s="42">
        <v>7.55</v>
      </c>
      <c r="N11" s="28">
        <f t="shared" si="4"/>
        <v>2642.5</v>
      </c>
      <c r="O11" s="42">
        <v>8.49</v>
      </c>
      <c r="P11" s="28">
        <f t="shared" si="5"/>
        <v>2971.5</v>
      </c>
      <c r="Q11" s="42">
        <v>13</v>
      </c>
      <c r="R11" s="28">
        <f t="shared" si="6"/>
        <v>4550</v>
      </c>
      <c r="S11" s="42">
        <v>8.1</v>
      </c>
      <c r="T11" s="28">
        <f t="shared" si="7"/>
        <v>2835</v>
      </c>
      <c r="U11" s="42">
        <v>5</v>
      </c>
      <c r="V11" s="28">
        <f t="shared" si="8"/>
        <v>1750</v>
      </c>
      <c r="W11" s="42">
        <v>6</v>
      </c>
      <c r="X11" s="28">
        <f t="shared" si="9"/>
        <v>2100</v>
      </c>
      <c r="Y11" s="42">
        <v>9</v>
      </c>
      <c r="Z11" s="28">
        <f t="shared" si="10"/>
        <v>3150</v>
      </c>
    </row>
    <row r="12" spans="1:26" x14ac:dyDescent="0.25">
      <c r="A12" s="38" t="s">
        <v>39</v>
      </c>
      <c r="B12" s="39" t="s">
        <v>40</v>
      </c>
      <c r="C12" s="40" t="s">
        <v>41</v>
      </c>
      <c r="D12" s="41">
        <v>1</v>
      </c>
      <c r="E12" s="60">
        <v>3000</v>
      </c>
      <c r="F12" s="60">
        <f t="shared" si="0"/>
        <v>3000</v>
      </c>
      <c r="G12" s="55">
        <v>2100</v>
      </c>
      <c r="H12" s="28">
        <f t="shared" si="1"/>
        <v>2100</v>
      </c>
      <c r="I12" s="43">
        <v>3000</v>
      </c>
      <c r="J12" s="28">
        <f t="shared" si="2"/>
        <v>3000</v>
      </c>
      <c r="K12" s="43">
        <v>596</v>
      </c>
      <c r="L12" s="28">
        <f t="shared" si="3"/>
        <v>596</v>
      </c>
      <c r="M12" s="42">
        <v>3580</v>
      </c>
      <c r="N12" s="28">
        <f t="shared" si="4"/>
        <v>3580</v>
      </c>
      <c r="O12" s="42">
        <v>1083.02</v>
      </c>
      <c r="P12" s="28">
        <f t="shared" si="5"/>
        <v>1083.02</v>
      </c>
      <c r="Q12" s="42">
        <v>2500</v>
      </c>
      <c r="R12" s="28">
        <f t="shared" si="6"/>
        <v>2500</v>
      </c>
      <c r="S12" s="42">
        <v>1600</v>
      </c>
      <c r="T12" s="28">
        <f t="shared" si="7"/>
        <v>1600</v>
      </c>
      <c r="U12" s="42">
        <v>822</v>
      </c>
      <c r="V12" s="28">
        <f t="shared" si="8"/>
        <v>822</v>
      </c>
      <c r="W12" s="42">
        <v>2000</v>
      </c>
      <c r="X12" s="28">
        <f t="shared" si="9"/>
        <v>2000</v>
      </c>
      <c r="Y12" s="42">
        <v>5000</v>
      </c>
      <c r="Z12" s="28">
        <f t="shared" si="10"/>
        <v>5000</v>
      </c>
    </row>
    <row r="13" spans="1:26" x14ac:dyDescent="0.25">
      <c r="A13" s="38" t="s">
        <v>42</v>
      </c>
      <c r="B13" s="39" t="s">
        <v>43</v>
      </c>
      <c r="C13" s="40" t="s">
        <v>34</v>
      </c>
      <c r="D13" s="41">
        <v>1</v>
      </c>
      <c r="E13" s="60">
        <v>5000</v>
      </c>
      <c r="F13" s="60">
        <f t="shared" si="0"/>
        <v>5000</v>
      </c>
      <c r="G13" s="55">
        <v>5700</v>
      </c>
      <c r="H13" s="28">
        <f t="shared" si="1"/>
        <v>5700</v>
      </c>
      <c r="I13" s="43">
        <v>9000</v>
      </c>
      <c r="J13" s="28">
        <f t="shared" si="2"/>
        <v>9000</v>
      </c>
      <c r="K13" s="43">
        <v>1985</v>
      </c>
      <c r="L13" s="28">
        <f t="shared" si="3"/>
        <v>1985</v>
      </c>
      <c r="M13" s="42">
        <v>2460</v>
      </c>
      <c r="N13" s="28">
        <f t="shared" si="4"/>
        <v>2460</v>
      </c>
      <c r="O13" s="42">
        <v>4682.34</v>
      </c>
      <c r="P13" s="28">
        <f t="shared" si="5"/>
        <v>4682.34</v>
      </c>
      <c r="Q13" s="42">
        <v>3000</v>
      </c>
      <c r="R13" s="28">
        <f t="shared" si="6"/>
        <v>3000</v>
      </c>
      <c r="S13" s="42">
        <v>4550</v>
      </c>
      <c r="T13" s="28">
        <f t="shared" si="7"/>
        <v>4550</v>
      </c>
      <c r="U13" s="42">
        <v>165</v>
      </c>
      <c r="V13" s="28">
        <f t="shared" si="8"/>
        <v>165</v>
      </c>
      <c r="W13" s="42">
        <v>7000</v>
      </c>
      <c r="X13" s="28">
        <f t="shared" si="9"/>
        <v>7000</v>
      </c>
      <c r="Y13" s="42">
        <v>20000</v>
      </c>
      <c r="Z13" s="28">
        <f t="shared" si="10"/>
        <v>20000</v>
      </c>
    </row>
    <row r="14" spans="1:26" x14ac:dyDescent="0.25">
      <c r="A14" s="38" t="s">
        <v>44</v>
      </c>
      <c r="B14" s="39" t="s">
        <v>45</v>
      </c>
      <c r="C14" s="40" t="s">
        <v>46</v>
      </c>
      <c r="D14" s="41">
        <v>50</v>
      </c>
      <c r="E14" s="60">
        <v>150</v>
      </c>
      <c r="F14" s="60">
        <f t="shared" si="0"/>
        <v>7500</v>
      </c>
      <c r="G14" s="55">
        <v>150</v>
      </c>
      <c r="H14" s="28">
        <f t="shared" si="1"/>
        <v>7500</v>
      </c>
      <c r="I14" s="43">
        <v>150</v>
      </c>
      <c r="J14" s="28">
        <f t="shared" si="2"/>
        <v>7500</v>
      </c>
      <c r="K14" s="43">
        <v>135.25</v>
      </c>
      <c r="L14" s="28">
        <f t="shared" si="3"/>
        <v>6762.5</v>
      </c>
      <c r="M14" s="42">
        <v>170</v>
      </c>
      <c r="N14" s="28">
        <f t="shared" si="4"/>
        <v>8500</v>
      </c>
      <c r="O14" s="42">
        <v>183.2</v>
      </c>
      <c r="P14" s="28">
        <f t="shared" si="5"/>
        <v>9160</v>
      </c>
      <c r="Q14" s="42">
        <v>140</v>
      </c>
      <c r="R14" s="28">
        <f t="shared" si="6"/>
        <v>7000</v>
      </c>
      <c r="S14" s="42">
        <v>220</v>
      </c>
      <c r="T14" s="28">
        <f t="shared" si="7"/>
        <v>11000</v>
      </c>
      <c r="U14" s="42">
        <v>10</v>
      </c>
      <c r="V14" s="28">
        <f t="shared" si="8"/>
        <v>500</v>
      </c>
      <c r="W14" s="42">
        <v>200</v>
      </c>
      <c r="X14" s="28">
        <f t="shared" si="9"/>
        <v>10000</v>
      </c>
      <c r="Y14" s="42">
        <v>240</v>
      </c>
      <c r="Z14" s="28">
        <f t="shared" si="10"/>
        <v>12000</v>
      </c>
    </row>
    <row r="15" spans="1:26" x14ac:dyDescent="0.25">
      <c r="A15" s="38" t="s">
        <v>47</v>
      </c>
      <c r="B15" s="97" t="s">
        <v>48</v>
      </c>
      <c r="C15" s="40" t="s">
        <v>19</v>
      </c>
      <c r="D15" s="41">
        <v>1</v>
      </c>
      <c r="E15" s="100">
        <v>15000</v>
      </c>
      <c r="F15" s="94">
        <f t="shared" si="0"/>
        <v>15000</v>
      </c>
      <c r="G15" s="55">
        <v>1100</v>
      </c>
      <c r="H15" s="28">
        <f t="shared" si="1"/>
        <v>1100</v>
      </c>
      <c r="I15" s="43">
        <v>10000</v>
      </c>
      <c r="J15" s="28">
        <f t="shared" si="2"/>
        <v>10000</v>
      </c>
      <c r="K15" s="43">
        <v>1201</v>
      </c>
      <c r="L15" s="28">
        <f t="shared" si="3"/>
        <v>1201</v>
      </c>
      <c r="M15" s="42">
        <v>1860</v>
      </c>
      <c r="N15" s="28">
        <f t="shared" si="4"/>
        <v>1860</v>
      </c>
      <c r="O15" s="42">
        <v>6896.94</v>
      </c>
      <c r="P15" s="28">
        <f t="shared" si="5"/>
        <v>6896.94</v>
      </c>
      <c r="Q15" s="42">
        <v>7500</v>
      </c>
      <c r="R15" s="95">
        <f t="shared" si="6"/>
        <v>7500</v>
      </c>
      <c r="S15" s="42">
        <v>13250</v>
      </c>
      <c r="T15" s="28">
        <f t="shared" si="7"/>
        <v>13250</v>
      </c>
      <c r="U15" s="42">
        <v>1152</v>
      </c>
      <c r="V15" s="95">
        <f t="shared" si="8"/>
        <v>1152</v>
      </c>
      <c r="W15" s="42">
        <v>2400</v>
      </c>
      <c r="X15" s="28">
        <f t="shared" si="9"/>
        <v>2400</v>
      </c>
      <c r="Y15" s="42">
        <v>20000</v>
      </c>
      <c r="Z15" s="28">
        <f t="shared" si="10"/>
        <v>20000</v>
      </c>
    </row>
    <row r="16" spans="1:26" x14ac:dyDescent="0.25">
      <c r="A16" s="38" t="s">
        <v>49</v>
      </c>
      <c r="B16" s="39" t="s">
        <v>50</v>
      </c>
      <c r="C16" s="40" t="s">
        <v>34</v>
      </c>
      <c r="D16" s="41">
        <v>1</v>
      </c>
      <c r="E16" s="60">
        <v>250</v>
      </c>
      <c r="F16" s="60">
        <f t="shared" si="0"/>
        <v>250</v>
      </c>
      <c r="G16" s="55">
        <v>240</v>
      </c>
      <c r="H16" s="28">
        <f t="shared" si="1"/>
        <v>240</v>
      </c>
      <c r="I16" s="43">
        <v>200</v>
      </c>
      <c r="J16" s="28">
        <f t="shared" si="2"/>
        <v>200</v>
      </c>
      <c r="K16" s="43">
        <v>185.95</v>
      </c>
      <c r="L16" s="28">
        <f t="shared" si="3"/>
        <v>185.95</v>
      </c>
      <c r="M16" s="42">
        <v>610</v>
      </c>
      <c r="N16" s="28">
        <f t="shared" si="4"/>
        <v>610</v>
      </c>
      <c r="O16" s="42">
        <v>291.87</v>
      </c>
      <c r="P16" s="28">
        <f t="shared" si="5"/>
        <v>291.87</v>
      </c>
      <c r="Q16" s="42">
        <v>500</v>
      </c>
      <c r="R16" s="28">
        <f t="shared" si="6"/>
        <v>500</v>
      </c>
      <c r="S16" s="42">
        <v>600</v>
      </c>
      <c r="T16" s="28">
        <f t="shared" si="7"/>
        <v>600</v>
      </c>
      <c r="U16" s="42">
        <v>117</v>
      </c>
      <c r="V16" s="28">
        <f t="shared" si="8"/>
        <v>117</v>
      </c>
      <c r="W16" s="42">
        <v>200</v>
      </c>
      <c r="X16" s="28">
        <f t="shared" si="9"/>
        <v>200</v>
      </c>
      <c r="Y16" s="42">
        <v>350</v>
      </c>
      <c r="Z16" s="28">
        <f t="shared" si="10"/>
        <v>350</v>
      </c>
    </row>
    <row r="17" spans="1:26" x14ac:dyDescent="0.25">
      <c r="A17" s="38" t="s">
        <v>51</v>
      </c>
      <c r="B17" s="39" t="s">
        <v>52</v>
      </c>
      <c r="C17" s="40" t="s">
        <v>53</v>
      </c>
      <c r="D17" s="44">
        <v>0.05</v>
      </c>
      <c r="E17" s="60">
        <v>4000</v>
      </c>
      <c r="F17" s="60">
        <f t="shared" si="0"/>
        <v>200</v>
      </c>
      <c r="G17" s="55">
        <v>28100</v>
      </c>
      <c r="H17" s="28">
        <f t="shared" si="1"/>
        <v>1405</v>
      </c>
      <c r="I17" s="43">
        <v>20000</v>
      </c>
      <c r="J17" s="28">
        <f t="shared" si="2"/>
        <v>1000</v>
      </c>
      <c r="K17" s="43">
        <v>8471.2000000000007</v>
      </c>
      <c r="L17" s="28">
        <f t="shared" si="3"/>
        <v>423.56000000000006</v>
      </c>
      <c r="M17" s="42">
        <v>15100</v>
      </c>
      <c r="N17" s="28">
        <f t="shared" si="4"/>
        <v>755</v>
      </c>
      <c r="O17" s="42">
        <v>10800</v>
      </c>
      <c r="P17" s="28">
        <f t="shared" si="5"/>
        <v>540</v>
      </c>
      <c r="Q17" s="42">
        <v>50000</v>
      </c>
      <c r="R17" s="28">
        <f t="shared" si="6"/>
        <v>2500</v>
      </c>
      <c r="S17" s="42">
        <v>12500</v>
      </c>
      <c r="T17" s="28">
        <f t="shared" si="7"/>
        <v>625</v>
      </c>
      <c r="U17" s="42">
        <v>5389</v>
      </c>
      <c r="V17" s="28">
        <f t="shared" si="8"/>
        <v>269.45</v>
      </c>
      <c r="W17" s="42">
        <v>12000</v>
      </c>
      <c r="X17" s="28">
        <f t="shared" si="9"/>
        <v>600</v>
      </c>
      <c r="Y17" s="42">
        <v>12000</v>
      </c>
      <c r="Z17" s="28">
        <f t="shared" si="10"/>
        <v>600</v>
      </c>
    </row>
    <row r="18" spans="1:26" x14ac:dyDescent="0.25">
      <c r="A18" s="38" t="s">
        <v>54</v>
      </c>
      <c r="B18" s="39" t="s">
        <v>55</v>
      </c>
      <c r="C18" s="40" t="s">
        <v>19</v>
      </c>
      <c r="D18" s="41">
        <v>1</v>
      </c>
      <c r="E18" s="60">
        <v>5000</v>
      </c>
      <c r="F18" s="60">
        <f t="shared" si="0"/>
        <v>5000</v>
      </c>
      <c r="G18" s="55">
        <v>3400</v>
      </c>
      <c r="H18" s="28">
        <f t="shared" si="1"/>
        <v>3400</v>
      </c>
      <c r="I18" s="43">
        <v>5000</v>
      </c>
      <c r="J18" s="28">
        <f t="shared" si="2"/>
        <v>5000</v>
      </c>
      <c r="K18" s="43">
        <v>4322</v>
      </c>
      <c r="L18" s="28">
        <f t="shared" si="3"/>
        <v>4322</v>
      </c>
      <c r="M18" s="42">
        <v>12000</v>
      </c>
      <c r="N18" s="28">
        <f t="shared" si="4"/>
        <v>12000</v>
      </c>
      <c r="O18" s="42">
        <v>4844.88</v>
      </c>
      <c r="P18" s="28">
        <f t="shared" si="5"/>
        <v>4844.88</v>
      </c>
      <c r="Q18" s="42">
        <v>2869</v>
      </c>
      <c r="R18" s="28">
        <f t="shared" si="6"/>
        <v>2869</v>
      </c>
      <c r="S18" s="42">
        <v>1900</v>
      </c>
      <c r="T18" s="28">
        <f t="shared" si="7"/>
        <v>1900</v>
      </c>
      <c r="U18" s="42">
        <v>714</v>
      </c>
      <c r="V18" s="28">
        <f t="shared" si="8"/>
        <v>714</v>
      </c>
      <c r="W18" s="42">
        <v>1200</v>
      </c>
      <c r="X18" s="28">
        <f t="shared" si="9"/>
        <v>1200</v>
      </c>
      <c r="Y18" s="42">
        <v>10000</v>
      </c>
      <c r="Z18" s="28">
        <f t="shared" si="10"/>
        <v>10000</v>
      </c>
    </row>
    <row r="19" spans="1:26" x14ac:dyDescent="0.25">
      <c r="A19" s="38" t="s">
        <v>56</v>
      </c>
      <c r="B19" s="39" t="s">
        <v>57</v>
      </c>
      <c r="C19" s="40" t="s">
        <v>53</v>
      </c>
      <c r="D19" s="44">
        <v>0.05</v>
      </c>
      <c r="E19" s="60">
        <v>4000</v>
      </c>
      <c r="F19" s="60">
        <f t="shared" si="0"/>
        <v>200</v>
      </c>
      <c r="G19" s="55">
        <v>19200</v>
      </c>
      <c r="H19" s="28">
        <f t="shared" si="1"/>
        <v>960</v>
      </c>
      <c r="I19" s="43">
        <v>20000</v>
      </c>
      <c r="J19" s="28">
        <f t="shared" si="2"/>
        <v>1000</v>
      </c>
      <c r="K19" s="43">
        <v>7061.8</v>
      </c>
      <c r="L19" s="28">
        <f t="shared" si="3"/>
        <v>353.09000000000003</v>
      </c>
      <c r="M19" s="42">
        <v>7540</v>
      </c>
      <c r="N19" s="28">
        <f t="shared" si="4"/>
        <v>377</v>
      </c>
      <c r="O19" s="42">
        <v>5400</v>
      </c>
      <c r="P19" s="28">
        <f t="shared" si="5"/>
        <v>270</v>
      </c>
      <c r="Q19" s="42">
        <v>75000</v>
      </c>
      <c r="R19" s="28">
        <f t="shared" si="6"/>
        <v>3750</v>
      </c>
      <c r="S19" s="42">
        <v>12500</v>
      </c>
      <c r="T19" s="28">
        <f t="shared" si="7"/>
        <v>625</v>
      </c>
      <c r="U19" s="42">
        <v>13755</v>
      </c>
      <c r="V19" s="28">
        <f t="shared" si="8"/>
        <v>687.75</v>
      </c>
      <c r="W19" s="42">
        <v>5697</v>
      </c>
      <c r="X19" s="28">
        <f t="shared" si="9"/>
        <v>284.85000000000002</v>
      </c>
      <c r="Y19" s="42">
        <v>12000</v>
      </c>
      <c r="Z19" s="28">
        <f t="shared" si="10"/>
        <v>600</v>
      </c>
    </row>
    <row r="20" spans="1:26" x14ac:dyDescent="0.25">
      <c r="A20" s="38" t="s">
        <v>58</v>
      </c>
      <c r="B20" s="39" t="s">
        <v>59</v>
      </c>
      <c r="C20" s="40" t="s">
        <v>27</v>
      </c>
      <c r="D20" s="41">
        <v>200</v>
      </c>
      <c r="E20" s="60">
        <v>10</v>
      </c>
      <c r="F20" s="60">
        <f t="shared" si="0"/>
        <v>2000</v>
      </c>
      <c r="G20" s="55">
        <v>8</v>
      </c>
      <c r="H20" s="28">
        <f t="shared" si="1"/>
        <v>1600</v>
      </c>
      <c r="I20" s="43">
        <v>6</v>
      </c>
      <c r="J20" s="28">
        <f t="shared" si="2"/>
        <v>1200</v>
      </c>
      <c r="K20" s="43">
        <v>6.25</v>
      </c>
      <c r="L20" s="28">
        <f t="shared" si="3"/>
        <v>1250</v>
      </c>
      <c r="M20" s="42">
        <v>9.0500000000000007</v>
      </c>
      <c r="N20" s="28">
        <f t="shared" si="4"/>
        <v>1810.0000000000002</v>
      </c>
      <c r="O20" s="42">
        <v>6.48</v>
      </c>
      <c r="P20" s="28">
        <f t="shared" si="5"/>
        <v>1296</v>
      </c>
      <c r="Q20" s="42">
        <v>19</v>
      </c>
      <c r="R20" s="28">
        <f t="shared" si="6"/>
        <v>3800</v>
      </c>
      <c r="S20" s="42">
        <v>6.25</v>
      </c>
      <c r="T20" s="28">
        <f t="shared" si="7"/>
        <v>1250</v>
      </c>
      <c r="U20" s="42">
        <v>3.75</v>
      </c>
      <c r="V20" s="28">
        <f t="shared" si="8"/>
        <v>750</v>
      </c>
      <c r="W20" s="42">
        <v>5.4</v>
      </c>
      <c r="X20" s="28">
        <f t="shared" si="9"/>
        <v>1080</v>
      </c>
      <c r="Y20" s="42">
        <v>7</v>
      </c>
      <c r="Z20" s="28">
        <f t="shared" si="10"/>
        <v>1400</v>
      </c>
    </row>
    <row r="21" spans="1:26" x14ac:dyDescent="0.25">
      <c r="A21" s="38" t="s">
        <v>60</v>
      </c>
      <c r="B21" s="39" t="s">
        <v>61</v>
      </c>
      <c r="C21" s="40" t="s">
        <v>31</v>
      </c>
      <c r="D21" s="41">
        <v>50</v>
      </c>
      <c r="E21" s="60">
        <v>75</v>
      </c>
      <c r="F21" s="60">
        <f t="shared" si="0"/>
        <v>3750</v>
      </c>
      <c r="G21" s="55">
        <v>170</v>
      </c>
      <c r="H21" s="28">
        <f t="shared" si="1"/>
        <v>8500</v>
      </c>
      <c r="I21" s="43">
        <v>300</v>
      </c>
      <c r="J21" s="28">
        <f t="shared" si="2"/>
        <v>15000</v>
      </c>
      <c r="K21" s="43">
        <v>59</v>
      </c>
      <c r="L21" s="28">
        <f t="shared" si="3"/>
        <v>2950</v>
      </c>
      <c r="M21" s="42">
        <v>113</v>
      </c>
      <c r="N21" s="28">
        <f t="shared" si="4"/>
        <v>5650</v>
      </c>
      <c r="O21" s="42">
        <v>102.62</v>
      </c>
      <c r="P21" s="28">
        <f t="shared" si="5"/>
        <v>5131</v>
      </c>
      <c r="Q21" s="42">
        <v>179</v>
      </c>
      <c r="R21" s="28">
        <f t="shared" si="6"/>
        <v>8950</v>
      </c>
      <c r="S21" s="42">
        <v>74</v>
      </c>
      <c r="T21" s="28">
        <f t="shared" si="7"/>
        <v>3700</v>
      </c>
      <c r="U21" s="42">
        <v>67.75</v>
      </c>
      <c r="V21" s="28">
        <f t="shared" si="8"/>
        <v>3387.5</v>
      </c>
      <c r="W21" s="42">
        <v>120</v>
      </c>
      <c r="X21" s="28">
        <f t="shared" si="9"/>
        <v>6000</v>
      </c>
      <c r="Y21" s="42">
        <v>290</v>
      </c>
      <c r="Z21" s="28">
        <f t="shared" si="10"/>
        <v>14500</v>
      </c>
    </row>
    <row r="22" spans="1:26" x14ac:dyDescent="0.25">
      <c r="A22" s="38" t="s">
        <v>62</v>
      </c>
      <c r="B22" s="39" t="s">
        <v>63</v>
      </c>
      <c r="C22" s="40" t="s">
        <v>27</v>
      </c>
      <c r="D22" s="41">
        <v>100</v>
      </c>
      <c r="E22" s="60">
        <v>5</v>
      </c>
      <c r="F22" s="60">
        <f t="shared" si="0"/>
        <v>500</v>
      </c>
      <c r="G22" s="55">
        <v>12</v>
      </c>
      <c r="H22" s="28">
        <f t="shared" si="1"/>
        <v>1200</v>
      </c>
      <c r="I22" s="43">
        <v>35</v>
      </c>
      <c r="J22" s="28">
        <f t="shared" si="2"/>
        <v>3500</v>
      </c>
      <c r="K22" s="43">
        <v>20.9</v>
      </c>
      <c r="L22" s="28">
        <f t="shared" si="3"/>
        <v>2090</v>
      </c>
      <c r="M22" s="42">
        <v>31.3</v>
      </c>
      <c r="N22" s="28">
        <f t="shared" si="4"/>
        <v>3130</v>
      </c>
      <c r="O22" s="42">
        <v>23.35</v>
      </c>
      <c r="P22" s="28">
        <f t="shared" si="5"/>
        <v>2335</v>
      </c>
      <c r="Q22" s="42">
        <v>20</v>
      </c>
      <c r="R22" s="28">
        <f t="shared" si="6"/>
        <v>2000</v>
      </c>
      <c r="S22" s="42">
        <v>10.25</v>
      </c>
      <c r="T22" s="28">
        <f t="shared" si="7"/>
        <v>1025</v>
      </c>
      <c r="U22" s="42">
        <v>1.5</v>
      </c>
      <c r="V22" s="28">
        <f t="shared" si="8"/>
        <v>150</v>
      </c>
      <c r="W22" s="42">
        <v>5</v>
      </c>
      <c r="X22" s="28">
        <f t="shared" si="9"/>
        <v>500</v>
      </c>
      <c r="Y22" s="42">
        <v>22</v>
      </c>
      <c r="Z22" s="28">
        <f t="shared" si="10"/>
        <v>2200</v>
      </c>
    </row>
    <row r="23" spans="1:26" x14ac:dyDescent="0.25">
      <c r="A23" s="38" t="s">
        <v>64</v>
      </c>
      <c r="B23" s="39" t="s">
        <v>65</v>
      </c>
      <c r="C23" s="40" t="s">
        <v>66</v>
      </c>
      <c r="D23" s="41">
        <v>65</v>
      </c>
      <c r="E23" s="60">
        <v>150</v>
      </c>
      <c r="F23" s="60">
        <f t="shared" si="0"/>
        <v>9750</v>
      </c>
      <c r="G23" s="55">
        <v>240</v>
      </c>
      <c r="H23" s="28">
        <f t="shared" si="1"/>
        <v>15600</v>
      </c>
      <c r="I23" s="43">
        <v>300</v>
      </c>
      <c r="J23" s="28">
        <f t="shared" si="2"/>
        <v>19500</v>
      </c>
      <c r="K23" s="43">
        <v>269.7</v>
      </c>
      <c r="L23" s="28">
        <f t="shared" si="3"/>
        <v>17530.5</v>
      </c>
      <c r="M23" s="42">
        <v>225</v>
      </c>
      <c r="N23" s="28">
        <f t="shared" si="4"/>
        <v>14625</v>
      </c>
      <c r="O23" s="42">
        <v>199.8</v>
      </c>
      <c r="P23" s="28">
        <f t="shared" si="5"/>
        <v>12987</v>
      </c>
      <c r="Q23" s="42">
        <v>320</v>
      </c>
      <c r="R23" s="28">
        <f t="shared" si="6"/>
        <v>20800</v>
      </c>
      <c r="S23" s="42">
        <v>155</v>
      </c>
      <c r="T23" s="28">
        <f t="shared" si="7"/>
        <v>10075</v>
      </c>
      <c r="U23" s="42">
        <v>336</v>
      </c>
      <c r="V23" s="28">
        <f t="shared" si="8"/>
        <v>21840</v>
      </c>
      <c r="W23" s="42">
        <v>395</v>
      </c>
      <c r="X23" s="28">
        <f t="shared" si="9"/>
        <v>25675</v>
      </c>
      <c r="Y23" s="42">
        <v>260</v>
      </c>
      <c r="Z23" s="28">
        <f t="shared" si="10"/>
        <v>16900</v>
      </c>
    </row>
    <row r="24" spans="1:26" x14ac:dyDescent="0.25">
      <c r="A24" s="38" t="s">
        <v>67</v>
      </c>
      <c r="B24" s="101" t="s">
        <v>68</v>
      </c>
      <c r="C24" s="40" t="s">
        <v>31</v>
      </c>
      <c r="D24" s="41">
        <v>16</v>
      </c>
      <c r="E24" s="94">
        <v>700</v>
      </c>
      <c r="F24" s="94">
        <f t="shared" si="0"/>
        <v>11200</v>
      </c>
      <c r="G24" s="55">
        <v>500</v>
      </c>
      <c r="H24" s="28">
        <f t="shared" si="1"/>
        <v>8000</v>
      </c>
      <c r="I24" s="43">
        <v>1500</v>
      </c>
      <c r="J24" s="96">
        <f t="shared" si="2"/>
        <v>24000</v>
      </c>
      <c r="K24" s="43">
        <v>371.2</v>
      </c>
      <c r="L24" s="28">
        <f t="shared" si="3"/>
        <v>5939.2</v>
      </c>
      <c r="M24" s="42">
        <v>550</v>
      </c>
      <c r="N24" s="28">
        <f t="shared" si="4"/>
        <v>8800</v>
      </c>
      <c r="O24" s="42">
        <v>495.53</v>
      </c>
      <c r="P24" s="28">
        <f t="shared" si="5"/>
        <v>7928.48</v>
      </c>
      <c r="Q24" s="42">
        <v>565</v>
      </c>
      <c r="R24" s="96">
        <f t="shared" si="6"/>
        <v>9040</v>
      </c>
      <c r="S24" s="42">
        <v>415</v>
      </c>
      <c r="T24" s="96">
        <f t="shared" si="7"/>
        <v>6640</v>
      </c>
      <c r="U24" s="42">
        <v>346.5</v>
      </c>
      <c r="V24" s="96">
        <f t="shared" si="8"/>
        <v>5544</v>
      </c>
      <c r="W24" s="42">
        <v>350</v>
      </c>
      <c r="X24" s="96">
        <f t="shared" si="9"/>
        <v>5600</v>
      </c>
      <c r="Y24" s="42">
        <v>1400</v>
      </c>
      <c r="Z24" s="96">
        <f t="shared" si="10"/>
        <v>22400</v>
      </c>
    </row>
    <row r="25" spans="1:26" x14ac:dyDescent="0.25">
      <c r="A25" s="38" t="s">
        <v>69</v>
      </c>
      <c r="B25" s="39" t="s">
        <v>70</v>
      </c>
      <c r="C25" s="40" t="s">
        <v>27</v>
      </c>
      <c r="D25" s="41">
        <v>90</v>
      </c>
      <c r="E25" s="60">
        <v>30</v>
      </c>
      <c r="F25" s="60">
        <f t="shared" si="0"/>
        <v>2700</v>
      </c>
      <c r="G25" s="55">
        <v>48</v>
      </c>
      <c r="H25" s="28">
        <f t="shared" si="1"/>
        <v>4320</v>
      </c>
      <c r="I25" s="43">
        <v>75</v>
      </c>
      <c r="J25" s="28">
        <f t="shared" si="2"/>
        <v>6750</v>
      </c>
      <c r="K25" s="43">
        <v>224.85</v>
      </c>
      <c r="L25" s="28">
        <f t="shared" si="3"/>
        <v>20236.5</v>
      </c>
      <c r="M25" s="42">
        <v>93.8</v>
      </c>
      <c r="N25" s="28">
        <f t="shared" si="4"/>
        <v>8442</v>
      </c>
      <c r="O25" s="42">
        <v>68.56</v>
      </c>
      <c r="P25" s="28">
        <f t="shared" si="5"/>
        <v>6170.4000000000005</v>
      </c>
      <c r="Q25" s="42">
        <v>62</v>
      </c>
      <c r="R25" s="28">
        <f t="shared" si="6"/>
        <v>5580</v>
      </c>
      <c r="S25" s="42">
        <v>86</v>
      </c>
      <c r="T25" s="28">
        <f t="shared" si="7"/>
        <v>7740</v>
      </c>
      <c r="U25" s="42">
        <v>66</v>
      </c>
      <c r="V25" s="28">
        <f t="shared" si="8"/>
        <v>5940</v>
      </c>
      <c r="W25" s="42">
        <v>45</v>
      </c>
      <c r="X25" s="28">
        <f t="shared" si="9"/>
        <v>4050</v>
      </c>
      <c r="Y25" s="42">
        <v>97</v>
      </c>
      <c r="Z25" s="28">
        <f t="shared" si="10"/>
        <v>8730</v>
      </c>
    </row>
    <row r="26" spans="1:26" x14ac:dyDescent="0.25">
      <c r="A26" s="38" t="s">
        <v>71</v>
      </c>
      <c r="B26" s="102" t="s">
        <v>72</v>
      </c>
      <c r="C26" s="40" t="s">
        <v>31</v>
      </c>
      <c r="D26" s="41">
        <v>69</v>
      </c>
      <c r="E26" s="60">
        <v>1300</v>
      </c>
      <c r="F26" s="103">
        <f t="shared" si="0"/>
        <v>89700</v>
      </c>
      <c r="G26" s="55">
        <v>2000</v>
      </c>
      <c r="H26" s="28">
        <f t="shared" si="1"/>
        <v>138000</v>
      </c>
      <c r="I26" s="104">
        <v>2668</v>
      </c>
      <c r="J26" s="95">
        <f t="shared" si="2"/>
        <v>184092</v>
      </c>
      <c r="K26" s="43">
        <v>2115.8000000000002</v>
      </c>
      <c r="L26" s="28">
        <f t="shared" si="3"/>
        <v>145990.20000000001</v>
      </c>
      <c r="M26" s="42">
        <v>1125</v>
      </c>
      <c r="N26" s="28">
        <f t="shared" si="4"/>
        <v>77625</v>
      </c>
      <c r="O26" s="42">
        <v>2277.9299999999998</v>
      </c>
      <c r="P26" s="28">
        <f t="shared" si="5"/>
        <v>157177.16999999998</v>
      </c>
      <c r="Q26" s="42">
        <v>1170</v>
      </c>
      <c r="R26" s="105">
        <f t="shared" si="6"/>
        <v>80730</v>
      </c>
      <c r="S26" s="42">
        <v>1062</v>
      </c>
      <c r="T26" s="105">
        <f t="shared" si="7"/>
        <v>73278</v>
      </c>
      <c r="U26" s="42">
        <v>1312.5</v>
      </c>
      <c r="V26" s="105">
        <f t="shared" si="8"/>
        <v>90562.5</v>
      </c>
      <c r="W26" s="106">
        <v>2250</v>
      </c>
      <c r="X26" s="95">
        <f t="shared" si="9"/>
        <v>155250</v>
      </c>
      <c r="Y26" s="106">
        <v>2650</v>
      </c>
      <c r="Z26" s="95">
        <f t="shared" si="10"/>
        <v>182850</v>
      </c>
    </row>
    <row r="27" spans="1:26" x14ac:dyDescent="0.25">
      <c r="A27" s="38" t="s">
        <v>73</v>
      </c>
      <c r="B27" s="93" t="s">
        <v>74</v>
      </c>
      <c r="C27" s="40" t="s">
        <v>75</v>
      </c>
      <c r="D27" s="41">
        <v>13851</v>
      </c>
      <c r="E27" s="60">
        <v>5</v>
      </c>
      <c r="F27" s="107">
        <f t="shared" si="0"/>
        <v>69255</v>
      </c>
      <c r="G27" s="55">
        <v>3</v>
      </c>
      <c r="H27" s="28">
        <f t="shared" si="1"/>
        <v>41553</v>
      </c>
      <c r="I27" s="43">
        <v>2</v>
      </c>
      <c r="J27" s="28">
        <f t="shared" si="2"/>
        <v>27702</v>
      </c>
      <c r="K27" s="43">
        <v>3.5</v>
      </c>
      <c r="L27" s="28">
        <f t="shared" si="3"/>
        <v>48478.5</v>
      </c>
      <c r="M27" s="42">
        <v>4</v>
      </c>
      <c r="N27" s="28">
        <f t="shared" si="4"/>
        <v>55404</v>
      </c>
      <c r="O27" s="42">
        <v>1.4</v>
      </c>
      <c r="P27" s="28">
        <f t="shared" si="5"/>
        <v>19391.399999999998</v>
      </c>
      <c r="Q27" s="42">
        <v>2.25</v>
      </c>
      <c r="R27" s="28">
        <f t="shared" si="6"/>
        <v>31164.75</v>
      </c>
      <c r="S27" s="108">
        <v>1.7</v>
      </c>
      <c r="T27" s="28">
        <f t="shared" si="7"/>
        <v>23546.7</v>
      </c>
      <c r="U27" s="42">
        <v>3.12</v>
      </c>
      <c r="V27" s="28">
        <f t="shared" si="8"/>
        <v>43215.12</v>
      </c>
      <c r="W27" s="42">
        <v>3</v>
      </c>
      <c r="X27" s="28">
        <f t="shared" si="9"/>
        <v>41553</v>
      </c>
      <c r="Y27" s="109">
        <v>0.3</v>
      </c>
      <c r="Z27" s="110">
        <f t="shared" si="10"/>
        <v>4155.3</v>
      </c>
    </row>
    <row r="28" spans="1:26" x14ac:dyDescent="0.25">
      <c r="A28" s="38" t="s">
        <v>76</v>
      </c>
      <c r="B28" s="39" t="s">
        <v>77</v>
      </c>
      <c r="C28" s="40" t="s">
        <v>22</v>
      </c>
      <c r="D28" s="41">
        <v>40</v>
      </c>
      <c r="E28" s="60">
        <v>180</v>
      </c>
      <c r="F28" s="60">
        <f t="shared" si="0"/>
        <v>7200</v>
      </c>
      <c r="G28" s="55">
        <v>250</v>
      </c>
      <c r="H28" s="28">
        <f t="shared" si="1"/>
        <v>10000</v>
      </c>
      <c r="I28" s="43">
        <v>350</v>
      </c>
      <c r="J28" s="28">
        <f t="shared" si="2"/>
        <v>14000</v>
      </c>
      <c r="K28" s="43">
        <v>120.8</v>
      </c>
      <c r="L28" s="28">
        <f t="shared" si="3"/>
        <v>4832</v>
      </c>
      <c r="M28" s="42">
        <v>168</v>
      </c>
      <c r="N28" s="28">
        <f t="shared" si="4"/>
        <v>6720</v>
      </c>
      <c r="O28" s="42">
        <v>152.66</v>
      </c>
      <c r="P28" s="28">
        <f t="shared" si="5"/>
        <v>6106.4</v>
      </c>
      <c r="Q28" s="42">
        <v>210</v>
      </c>
      <c r="R28" s="28">
        <f t="shared" si="6"/>
        <v>8400</v>
      </c>
      <c r="S28" s="42">
        <v>107</v>
      </c>
      <c r="T28" s="28">
        <f t="shared" si="7"/>
        <v>4280</v>
      </c>
      <c r="U28" s="42">
        <v>139</v>
      </c>
      <c r="V28" s="28">
        <f t="shared" si="8"/>
        <v>5560</v>
      </c>
      <c r="W28" s="42">
        <v>250</v>
      </c>
      <c r="X28" s="28">
        <f t="shared" si="9"/>
        <v>10000</v>
      </c>
      <c r="Y28" s="42">
        <v>145</v>
      </c>
      <c r="Z28" s="28">
        <f t="shared" si="10"/>
        <v>5800</v>
      </c>
    </row>
    <row r="29" spans="1:26" x14ac:dyDescent="0.25">
      <c r="A29" s="38" t="s">
        <v>78</v>
      </c>
      <c r="B29" s="39" t="s">
        <v>79</v>
      </c>
      <c r="C29" s="40" t="s">
        <v>34</v>
      </c>
      <c r="D29" s="41">
        <v>1</v>
      </c>
      <c r="E29" s="60">
        <v>3000</v>
      </c>
      <c r="F29" s="60">
        <f t="shared" si="0"/>
        <v>3000</v>
      </c>
      <c r="G29" s="55">
        <v>5500</v>
      </c>
      <c r="H29" s="28">
        <f t="shared" si="1"/>
        <v>5500</v>
      </c>
      <c r="I29" s="43">
        <v>7000</v>
      </c>
      <c r="J29" s="28">
        <f t="shared" si="2"/>
        <v>7000</v>
      </c>
      <c r="K29" s="43">
        <v>2033</v>
      </c>
      <c r="L29" s="28">
        <f t="shared" si="3"/>
        <v>2033</v>
      </c>
      <c r="M29" s="42">
        <v>1100</v>
      </c>
      <c r="N29" s="28">
        <f t="shared" si="4"/>
        <v>1100</v>
      </c>
      <c r="O29" s="42">
        <v>2283.79</v>
      </c>
      <c r="P29" s="28">
        <f t="shared" si="5"/>
        <v>2283.79</v>
      </c>
      <c r="Q29" s="42">
        <v>2700</v>
      </c>
      <c r="R29" s="28">
        <f t="shared" si="6"/>
        <v>2700</v>
      </c>
      <c r="S29" s="42">
        <v>3650</v>
      </c>
      <c r="T29" s="28">
        <f t="shared" si="7"/>
        <v>3650</v>
      </c>
      <c r="U29" s="42">
        <v>1789</v>
      </c>
      <c r="V29" s="28">
        <f t="shared" si="8"/>
        <v>1789</v>
      </c>
      <c r="W29" s="42">
        <v>4100</v>
      </c>
      <c r="X29" s="28">
        <f t="shared" si="9"/>
        <v>4100</v>
      </c>
      <c r="Y29" s="42">
        <v>5400</v>
      </c>
      <c r="Z29" s="28">
        <f t="shared" si="10"/>
        <v>5400</v>
      </c>
    </row>
    <row r="30" spans="1:26" x14ac:dyDescent="0.25">
      <c r="A30" s="38" t="s">
        <v>80</v>
      </c>
      <c r="B30" s="102" t="s">
        <v>81</v>
      </c>
      <c r="C30" s="40" t="s">
        <v>19</v>
      </c>
      <c r="D30" s="41">
        <v>1</v>
      </c>
      <c r="E30" s="60">
        <v>30000</v>
      </c>
      <c r="F30" s="103">
        <f t="shared" si="0"/>
        <v>30000</v>
      </c>
      <c r="G30" s="55">
        <v>64200</v>
      </c>
      <c r="H30" s="28">
        <f t="shared" si="1"/>
        <v>64200</v>
      </c>
      <c r="I30" s="43">
        <v>44300</v>
      </c>
      <c r="J30" s="105">
        <f t="shared" si="2"/>
        <v>44300</v>
      </c>
      <c r="K30" s="43">
        <v>11702</v>
      </c>
      <c r="L30" s="28">
        <f t="shared" si="3"/>
        <v>11702</v>
      </c>
      <c r="M30" s="42">
        <v>93550</v>
      </c>
      <c r="N30" s="28">
        <f t="shared" si="4"/>
        <v>93550</v>
      </c>
      <c r="O30" s="42">
        <v>44491.46</v>
      </c>
      <c r="P30" s="28">
        <f t="shared" si="5"/>
        <v>44491.46</v>
      </c>
      <c r="Q30" s="111">
        <v>53764</v>
      </c>
      <c r="R30" s="112">
        <f t="shared" si="6"/>
        <v>53764</v>
      </c>
      <c r="S30" s="106">
        <v>120500</v>
      </c>
      <c r="T30" s="96">
        <f t="shared" si="7"/>
        <v>120500</v>
      </c>
      <c r="U30" s="42">
        <v>10608</v>
      </c>
      <c r="V30" s="96">
        <f t="shared" si="8"/>
        <v>10608</v>
      </c>
      <c r="W30" s="42">
        <v>87284.800000000003</v>
      </c>
      <c r="X30" s="96">
        <f t="shared" si="9"/>
        <v>87284.800000000003</v>
      </c>
      <c r="Y30" s="42">
        <v>70000</v>
      </c>
      <c r="Z30" s="96">
        <f t="shared" si="10"/>
        <v>70000</v>
      </c>
    </row>
    <row r="31" spans="1:26" x14ac:dyDescent="0.25">
      <c r="A31" s="38" t="s">
        <v>82</v>
      </c>
      <c r="B31" s="39" t="s">
        <v>83</v>
      </c>
      <c r="C31" s="40" t="s">
        <v>84</v>
      </c>
      <c r="D31" s="41">
        <v>5</v>
      </c>
      <c r="E31" s="60">
        <v>350</v>
      </c>
      <c r="F31" s="60">
        <f t="shared" si="0"/>
        <v>1750</v>
      </c>
      <c r="G31" s="55">
        <v>260</v>
      </c>
      <c r="H31" s="28">
        <f t="shared" si="1"/>
        <v>1300</v>
      </c>
      <c r="I31" s="43">
        <v>200</v>
      </c>
      <c r="J31" s="28">
        <f t="shared" si="2"/>
        <v>1000</v>
      </c>
      <c r="K31" s="43">
        <v>601.4</v>
      </c>
      <c r="L31" s="28">
        <f t="shared" si="3"/>
        <v>3007</v>
      </c>
      <c r="M31" s="42">
        <v>311</v>
      </c>
      <c r="N31" s="28">
        <f t="shared" si="4"/>
        <v>1555</v>
      </c>
      <c r="O31" s="42">
        <v>270</v>
      </c>
      <c r="P31" s="28">
        <f t="shared" si="5"/>
        <v>1350</v>
      </c>
      <c r="Q31" s="42">
        <v>500</v>
      </c>
      <c r="R31" s="28">
        <f t="shared" si="6"/>
        <v>2500</v>
      </c>
      <c r="S31" s="42">
        <v>560</v>
      </c>
      <c r="T31" s="28">
        <f t="shared" si="7"/>
        <v>2800</v>
      </c>
      <c r="U31" s="42">
        <v>360</v>
      </c>
      <c r="V31" s="28">
        <f t="shared" si="8"/>
        <v>1800</v>
      </c>
      <c r="W31" s="42">
        <v>900</v>
      </c>
      <c r="X31" s="28">
        <f t="shared" si="9"/>
        <v>4500</v>
      </c>
      <c r="Y31" s="42">
        <v>1000</v>
      </c>
      <c r="Z31" s="28">
        <f t="shared" si="10"/>
        <v>5000</v>
      </c>
    </row>
    <row r="32" spans="1:26" x14ac:dyDescent="0.25">
      <c r="A32" s="38" t="s">
        <v>85</v>
      </c>
      <c r="B32" s="39" t="s">
        <v>86</v>
      </c>
      <c r="C32" s="40" t="s">
        <v>19</v>
      </c>
      <c r="D32" s="41">
        <v>1</v>
      </c>
      <c r="E32" s="60">
        <v>10000</v>
      </c>
      <c r="F32" s="100">
        <f t="shared" si="0"/>
        <v>10000</v>
      </c>
      <c r="G32" s="55">
        <v>9900</v>
      </c>
      <c r="H32" s="28">
        <f t="shared" si="1"/>
        <v>9900</v>
      </c>
      <c r="I32" s="43">
        <v>10000</v>
      </c>
      <c r="J32" s="28">
        <f t="shared" si="2"/>
        <v>10000</v>
      </c>
      <c r="K32" s="43">
        <v>15690</v>
      </c>
      <c r="L32" s="28">
        <f t="shared" si="3"/>
        <v>15690</v>
      </c>
      <c r="M32" s="42">
        <v>29400</v>
      </c>
      <c r="N32" s="28">
        <f t="shared" si="4"/>
        <v>29400</v>
      </c>
      <c r="O32" s="42">
        <v>16916.04</v>
      </c>
      <c r="P32" s="28">
        <f t="shared" si="5"/>
        <v>16916.04</v>
      </c>
      <c r="Q32" s="42">
        <v>3800</v>
      </c>
      <c r="R32" s="95">
        <f t="shared" si="6"/>
        <v>3800</v>
      </c>
      <c r="S32" s="42">
        <v>14000</v>
      </c>
      <c r="T32" s="28">
        <f t="shared" si="7"/>
        <v>14000</v>
      </c>
      <c r="U32" s="42">
        <v>2220</v>
      </c>
      <c r="V32" s="28">
        <f t="shared" si="8"/>
        <v>2220</v>
      </c>
      <c r="W32" s="42">
        <v>10000</v>
      </c>
      <c r="X32" s="28">
        <f t="shared" si="9"/>
        <v>10000</v>
      </c>
      <c r="Y32" s="42">
        <v>20000</v>
      </c>
      <c r="Z32" s="28">
        <f t="shared" si="10"/>
        <v>20000</v>
      </c>
    </row>
    <row r="33" spans="1:26" x14ac:dyDescent="0.25">
      <c r="A33" s="38" t="s">
        <v>87</v>
      </c>
      <c r="B33" s="39" t="s">
        <v>88</v>
      </c>
      <c r="C33" s="40" t="s">
        <v>19</v>
      </c>
      <c r="D33" s="41">
        <v>1</v>
      </c>
      <c r="E33" s="60">
        <v>10000</v>
      </c>
      <c r="F33" s="60">
        <f t="shared" si="0"/>
        <v>10000</v>
      </c>
      <c r="G33" s="55">
        <v>5900</v>
      </c>
      <c r="H33" s="28">
        <f t="shared" si="1"/>
        <v>5900</v>
      </c>
      <c r="I33" s="43">
        <v>8300</v>
      </c>
      <c r="J33" s="28">
        <f t="shared" si="2"/>
        <v>8300</v>
      </c>
      <c r="K33" s="43">
        <v>7533.3</v>
      </c>
      <c r="L33" s="28">
        <f t="shared" si="3"/>
        <v>7533.3</v>
      </c>
      <c r="M33" s="42">
        <v>7330</v>
      </c>
      <c r="N33" s="28">
        <f t="shared" si="4"/>
        <v>7330</v>
      </c>
      <c r="O33" s="42">
        <v>5400</v>
      </c>
      <c r="P33" s="28">
        <f t="shared" si="5"/>
        <v>5400</v>
      </c>
      <c r="Q33" s="42">
        <v>6250</v>
      </c>
      <c r="R33" s="28">
        <f t="shared" si="6"/>
        <v>6250</v>
      </c>
      <c r="S33" s="42">
        <v>9700</v>
      </c>
      <c r="T33" s="28">
        <f t="shared" si="7"/>
        <v>9700</v>
      </c>
      <c r="U33" s="42">
        <v>9000</v>
      </c>
      <c r="V33" s="28">
        <f t="shared" si="8"/>
        <v>9000</v>
      </c>
      <c r="W33" s="42">
        <v>8058</v>
      </c>
      <c r="X33" s="28">
        <f t="shared" si="9"/>
        <v>8058</v>
      </c>
      <c r="Y33" s="42">
        <v>23120</v>
      </c>
      <c r="Z33" s="28">
        <f t="shared" si="10"/>
        <v>23120</v>
      </c>
    </row>
    <row r="34" spans="1:26" x14ac:dyDescent="0.25">
      <c r="A34" s="38" t="s">
        <v>89</v>
      </c>
      <c r="B34" s="39" t="s">
        <v>90</v>
      </c>
      <c r="C34" s="40" t="s">
        <v>91</v>
      </c>
      <c r="D34" s="41">
        <v>1</v>
      </c>
      <c r="E34" s="60">
        <v>5000</v>
      </c>
      <c r="F34" s="60">
        <f t="shared" si="0"/>
        <v>5000</v>
      </c>
      <c r="G34" s="55">
        <v>50000</v>
      </c>
      <c r="H34" s="28">
        <f t="shared" si="1"/>
        <v>50000</v>
      </c>
      <c r="I34" s="43">
        <v>50000</v>
      </c>
      <c r="J34" s="28">
        <f t="shared" si="2"/>
        <v>50000</v>
      </c>
      <c r="K34" s="43">
        <v>50000</v>
      </c>
      <c r="L34" s="28">
        <f t="shared" si="3"/>
        <v>50000</v>
      </c>
      <c r="M34" s="42">
        <v>50000</v>
      </c>
      <c r="N34" s="28">
        <f t="shared" si="4"/>
        <v>50000</v>
      </c>
      <c r="O34" s="42">
        <v>50000</v>
      </c>
      <c r="P34" s="28">
        <f t="shared" si="5"/>
        <v>50000</v>
      </c>
      <c r="Q34" s="42">
        <v>50000</v>
      </c>
      <c r="R34" s="28">
        <f t="shared" si="6"/>
        <v>50000</v>
      </c>
      <c r="S34" s="42">
        <v>50000</v>
      </c>
      <c r="T34" s="28">
        <f t="shared" si="7"/>
        <v>50000</v>
      </c>
      <c r="U34" s="42">
        <v>50000</v>
      </c>
      <c r="V34" s="28">
        <f t="shared" si="8"/>
        <v>50000</v>
      </c>
      <c r="W34" s="42">
        <v>50000</v>
      </c>
      <c r="X34" s="28">
        <f t="shared" si="9"/>
        <v>50000</v>
      </c>
      <c r="Y34" s="42">
        <v>50000</v>
      </c>
      <c r="Z34" s="28">
        <f t="shared" si="10"/>
        <v>50000</v>
      </c>
    </row>
    <row r="35" spans="1:26" x14ac:dyDescent="0.25">
      <c r="A35" s="38" t="s">
        <v>92</v>
      </c>
      <c r="B35" s="39" t="s">
        <v>93</v>
      </c>
      <c r="C35" s="40" t="s">
        <v>91</v>
      </c>
      <c r="D35" s="41">
        <v>1</v>
      </c>
      <c r="E35" s="60">
        <v>50000</v>
      </c>
      <c r="F35" s="60">
        <f t="shared" si="0"/>
        <v>50000</v>
      </c>
      <c r="G35" s="55">
        <v>5000</v>
      </c>
      <c r="H35" s="28">
        <f t="shared" si="1"/>
        <v>5000</v>
      </c>
      <c r="I35" s="43">
        <v>5000</v>
      </c>
      <c r="J35" s="28">
        <f t="shared" si="2"/>
        <v>5000</v>
      </c>
      <c r="K35" s="43">
        <v>5000</v>
      </c>
      <c r="L35" s="28">
        <f t="shared" si="3"/>
        <v>5000</v>
      </c>
      <c r="M35" s="42">
        <v>5000</v>
      </c>
      <c r="N35" s="28">
        <f t="shared" si="4"/>
        <v>5000</v>
      </c>
      <c r="O35" s="42">
        <v>5000</v>
      </c>
      <c r="P35" s="28">
        <f t="shared" si="5"/>
        <v>5000</v>
      </c>
      <c r="Q35" s="42">
        <v>5000</v>
      </c>
      <c r="R35" s="28">
        <f t="shared" si="6"/>
        <v>5000</v>
      </c>
      <c r="S35" s="42">
        <v>5000</v>
      </c>
      <c r="T35" s="28">
        <f t="shared" si="7"/>
        <v>5000</v>
      </c>
      <c r="U35" s="42">
        <v>5000</v>
      </c>
      <c r="V35" s="28">
        <f t="shared" si="8"/>
        <v>5000</v>
      </c>
      <c r="W35" s="42">
        <v>5000</v>
      </c>
      <c r="X35" s="28">
        <f t="shared" si="9"/>
        <v>5000</v>
      </c>
      <c r="Y35" s="42">
        <v>5000</v>
      </c>
      <c r="Z35" s="28">
        <f t="shared" si="10"/>
        <v>5000</v>
      </c>
    </row>
    <row r="36" spans="1:26" x14ac:dyDescent="0.25">
      <c r="A36" s="45"/>
      <c r="B36" s="46"/>
      <c r="C36" s="47"/>
      <c r="D36" s="48" t="s">
        <v>94</v>
      </c>
      <c r="E36" s="59"/>
      <c r="F36" s="61">
        <f>SUM(F3:F35)</f>
        <v>398112</v>
      </c>
      <c r="G36" s="61"/>
      <c r="H36" s="61">
        <f>SUM(H3:H35)</f>
        <v>461752</v>
      </c>
      <c r="I36" s="61"/>
      <c r="J36" s="61">
        <f>SUM(J3:J35)</f>
        <v>570355</v>
      </c>
      <c r="K36" s="61"/>
      <c r="L36" s="61">
        <f>SUM(L3:L35)</f>
        <v>410572.64999999997</v>
      </c>
      <c r="M36" s="61"/>
      <c r="N36" s="61">
        <f>SUM(N3:N35)</f>
        <v>483980.9</v>
      </c>
      <c r="O36" s="61"/>
      <c r="P36" s="61">
        <f>SUM(P3:P35)</f>
        <v>427804.27999999997</v>
      </c>
      <c r="Q36" s="61"/>
      <c r="R36" s="61">
        <f>SUM(R3:R35)</f>
        <v>372660.75</v>
      </c>
      <c r="S36" s="61"/>
      <c r="T36" s="61">
        <f>SUM(T3:T35)</f>
        <v>426944.7</v>
      </c>
      <c r="U36" s="61"/>
      <c r="V36" s="61">
        <f>SUM(V3:V35)</f>
        <v>306276</v>
      </c>
      <c r="W36" s="61"/>
      <c r="X36" s="61">
        <f>SUM(X3:X35)</f>
        <v>509710.64999999997</v>
      </c>
      <c r="Y36" s="61"/>
      <c r="Z36" s="61">
        <f>SUM(Z3:Z35)</f>
        <v>637260.30000000005</v>
      </c>
    </row>
    <row r="37" spans="1:26" x14ac:dyDescent="0.25">
      <c r="A37" s="38"/>
      <c r="B37" s="49" t="s">
        <v>95</v>
      </c>
      <c r="C37" s="40"/>
      <c r="D37" s="41"/>
      <c r="E37" s="58"/>
      <c r="F37" s="58"/>
      <c r="G37" s="56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</row>
    <row r="38" spans="1:26" x14ac:dyDescent="0.25">
      <c r="A38" s="38" t="s">
        <v>29</v>
      </c>
      <c r="B38" s="39" t="s">
        <v>30</v>
      </c>
      <c r="C38" s="40" t="s">
        <v>31</v>
      </c>
      <c r="D38" s="41">
        <v>200</v>
      </c>
      <c r="E38" s="60">
        <v>35</v>
      </c>
      <c r="F38" s="60">
        <f>E38*D38</f>
        <v>7000</v>
      </c>
      <c r="G38" s="55">
        <v>100</v>
      </c>
      <c r="H38" s="28">
        <f t="shared" si="1"/>
        <v>20000</v>
      </c>
      <c r="I38" s="43">
        <v>40</v>
      </c>
      <c r="J38" s="28">
        <f>I38*D38</f>
        <v>8000</v>
      </c>
      <c r="K38" s="43">
        <v>25.3</v>
      </c>
      <c r="L38" s="28">
        <f>K38*D38</f>
        <v>5060</v>
      </c>
      <c r="M38" s="42">
        <v>53</v>
      </c>
      <c r="N38" s="28">
        <f>M38*D38</f>
        <v>10600</v>
      </c>
      <c r="O38" s="42">
        <v>26.63</v>
      </c>
      <c r="P38" s="28">
        <f t="shared" ref="P38:P43" si="11">O38*D38</f>
        <v>5326</v>
      </c>
      <c r="Q38" s="42">
        <v>68</v>
      </c>
      <c r="R38" s="28">
        <f t="shared" ref="R38:R43" si="12">Q38*D38</f>
        <v>13600</v>
      </c>
      <c r="S38" s="42">
        <v>24</v>
      </c>
      <c r="T38" s="28">
        <f t="shared" ref="T38:T43" si="13">S38*D38</f>
        <v>4800</v>
      </c>
      <c r="U38" s="42">
        <v>44.5</v>
      </c>
      <c r="V38" s="28">
        <f t="shared" ref="V38:V43" si="14">U38*D38</f>
        <v>8900</v>
      </c>
      <c r="W38" s="42">
        <v>120</v>
      </c>
      <c r="X38" s="28">
        <f t="shared" ref="X38:X43" si="15">W38*D38</f>
        <v>24000</v>
      </c>
      <c r="Y38" s="42">
        <v>40</v>
      </c>
      <c r="Z38" s="28">
        <f t="shared" ref="Z38:Z43" si="16">Y38*D38</f>
        <v>8000</v>
      </c>
    </row>
    <row r="39" spans="1:26" x14ac:dyDescent="0.25">
      <c r="A39" s="38" t="s">
        <v>96</v>
      </c>
      <c r="B39" s="39" t="s">
        <v>97</v>
      </c>
      <c r="C39" s="40" t="s">
        <v>31</v>
      </c>
      <c r="D39" s="41">
        <v>2</v>
      </c>
      <c r="E39" s="60">
        <v>500</v>
      </c>
      <c r="F39" s="60">
        <f t="shared" ref="F39:F43" si="17">E39*D39</f>
        <v>1000</v>
      </c>
      <c r="G39" s="55">
        <v>150</v>
      </c>
      <c r="H39" s="28">
        <f t="shared" si="1"/>
        <v>300</v>
      </c>
      <c r="I39" s="43">
        <v>500</v>
      </c>
      <c r="J39" s="28">
        <f t="shared" ref="J39:J43" si="18">I39*D39</f>
        <v>1000</v>
      </c>
      <c r="K39" s="43">
        <v>572.20000000000005</v>
      </c>
      <c r="L39" s="28">
        <f t="shared" ref="L39:L43" si="19">K39*D39</f>
        <v>1144.4000000000001</v>
      </c>
      <c r="M39" s="42">
        <v>517</v>
      </c>
      <c r="N39" s="28">
        <f t="shared" ref="N39:N43" si="20">M39*D39</f>
        <v>1034</v>
      </c>
      <c r="O39" s="42">
        <v>615.41</v>
      </c>
      <c r="P39" s="28">
        <f t="shared" si="11"/>
        <v>1230.82</v>
      </c>
      <c r="Q39" s="42">
        <v>500</v>
      </c>
      <c r="R39" s="28">
        <f t="shared" si="12"/>
        <v>1000</v>
      </c>
      <c r="S39" s="42">
        <v>250</v>
      </c>
      <c r="T39" s="28">
        <f t="shared" si="13"/>
        <v>500</v>
      </c>
      <c r="U39" s="42">
        <v>1500</v>
      </c>
      <c r="V39" s="28">
        <f t="shared" si="14"/>
        <v>3000</v>
      </c>
      <c r="W39" s="42">
        <v>600</v>
      </c>
      <c r="X39" s="28">
        <f t="shared" si="15"/>
        <v>1200</v>
      </c>
      <c r="Y39" s="42">
        <v>250</v>
      </c>
      <c r="Z39" s="28">
        <f t="shared" si="16"/>
        <v>500</v>
      </c>
    </row>
    <row r="40" spans="1:26" x14ac:dyDescent="0.25">
      <c r="A40" s="38" t="s">
        <v>98</v>
      </c>
      <c r="B40" s="39" t="s">
        <v>99</v>
      </c>
      <c r="C40" s="40" t="s">
        <v>31</v>
      </c>
      <c r="D40" s="41">
        <v>15</v>
      </c>
      <c r="E40" s="60">
        <v>500</v>
      </c>
      <c r="F40" s="60">
        <f t="shared" si="17"/>
        <v>7500</v>
      </c>
      <c r="G40" s="55">
        <v>320</v>
      </c>
      <c r="H40" s="28">
        <f t="shared" si="1"/>
        <v>4800</v>
      </c>
      <c r="I40" s="43">
        <v>400</v>
      </c>
      <c r="J40" s="28">
        <f t="shared" si="18"/>
        <v>6000</v>
      </c>
      <c r="K40" s="43">
        <v>324.89999999999998</v>
      </c>
      <c r="L40" s="28">
        <f t="shared" si="19"/>
        <v>4873.5</v>
      </c>
      <c r="M40" s="42">
        <v>288</v>
      </c>
      <c r="N40" s="28">
        <f t="shared" si="20"/>
        <v>4320</v>
      </c>
      <c r="O40" s="42">
        <v>228.36</v>
      </c>
      <c r="P40" s="28">
        <f t="shared" si="11"/>
        <v>3425.4</v>
      </c>
      <c r="Q40" s="42">
        <v>350</v>
      </c>
      <c r="R40" s="28">
        <f t="shared" si="12"/>
        <v>5250</v>
      </c>
      <c r="S40" s="42">
        <v>154</v>
      </c>
      <c r="T40" s="28">
        <f t="shared" si="13"/>
        <v>2310</v>
      </c>
      <c r="U40" s="42">
        <v>231</v>
      </c>
      <c r="V40" s="28">
        <f t="shared" si="14"/>
        <v>3465</v>
      </c>
      <c r="W40" s="42">
        <v>475</v>
      </c>
      <c r="X40" s="28">
        <f t="shared" si="15"/>
        <v>7125</v>
      </c>
      <c r="Y40" s="42">
        <v>392</v>
      </c>
      <c r="Z40" s="28">
        <f t="shared" si="16"/>
        <v>5880</v>
      </c>
    </row>
    <row r="41" spans="1:26" x14ac:dyDescent="0.25">
      <c r="A41" s="38" t="s">
        <v>76</v>
      </c>
      <c r="B41" s="39" t="s">
        <v>77</v>
      </c>
      <c r="C41" s="40" t="s">
        <v>22</v>
      </c>
      <c r="D41" s="41">
        <v>103</v>
      </c>
      <c r="E41" s="60">
        <v>180</v>
      </c>
      <c r="F41" s="60">
        <f t="shared" si="17"/>
        <v>18540</v>
      </c>
      <c r="G41" s="55">
        <v>190</v>
      </c>
      <c r="H41" s="28">
        <f t="shared" si="1"/>
        <v>19570</v>
      </c>
      <c r="I41" s="43">
        <v>150</v>
      </c>
      <c r="J41" s="28">
        <f t="shared" si="18"/>
        <v>15450</v>
      </c>
      <c r="K41" s="43">
        <v>176.95</v>
      </c>
      <c r="L41" s="28">
        <f t="shared" si="19"/>
        <v>18225.849999999999</v>
      </c>
      <c r="M41" s="42">
        <v>153</v>
      </c>
      <c r="N41" s="28">
        <f t="shared" si="20"/>
        <v>15759</v>
      </c>
      <c r="O41" s="42">
        <v>140.13</v>
      </c>
      <c r="P41" s="28">
        <f t="shared" si="11"/>
        <v>14433.39</v>
      </c>
      <c r="Q41" s="42">
        <v>224</v>
      </c>
      <c r="R41" s="28">
        <f t="shared" si="12"/>
        <v>23072</v>
      </c>
      <c r="S41" s="42">
        <v>107</v>
      </c>
      <c r="T41" s="28">
        <f t="shared" si="13"/>
        <v>11021</v>
      </c>
      <c r="U41" s="42">
        <v>246</v>
      </c>
      <c r="V41" s="28">
        <f t="shared" si="14"/>
        <v>25338</v>
      </c>
      <c r="W41" s="42">
        <v>250</v>
      </c>
      <c r="X41" s="28">
        <f t="shared" si="15"/>
        <v>25750</v>
      </c>
      <c r="Y41" s="42">
        <v>120</v>
      </c>
      <c r="Z41" s="28">
        <f t="shared" si="16"/>
        <v>12360</v>
      </c>
    </row>
    <row r="42" spans="1:26" x14ac:dyDescent="0.25">
      <c r="A42" s="38" t="s">
        <v>100</v>
      </c>
      <c r="B42" s="39" t="s">
        <v>101</v>
      </c>
      <c r="C42" s="40" t="s">
        <v>34</v>
      </c>
      <c r="D42" s="41">
        <v>1</v>
      </c>
      <c r="E42" s="60">
        <v>20000</v>
      </c>
      <c r="F42" s="60">
        <f t="shared" si="17"/>
        <v>20000</v>
      </c>
      <c r="G42" s="55">
        <v>6700</v>
      </c>
      <c r="H42" s="28">
        <f t="shared" si="1"/>
        <v>6700</v>
      </c>
      <c r="I42" s="43">
        <v>6500</v>
      </c>
      <c r="J42" s="28">
        <f t="shared" si="18"/>
        <v>6500</v>
      </c>
      <c r="K42" s="43">
        <v>8004</v>
      </c>
      <c r="L42" s="28">
        <f t="shared" si="19"/>
        <v>8004</v>
      </c>
      <c r="M42" s="42">
        <v>10000</v>
      </c>
      <c r="N42" s="28">
        <f t="shared" si="20"/>
        <v>10000</v>
      </c>
      <c r="O42" s="42">
        <v>6653.6</v>
      </c>
      <c r="P42" s="28">
        <f t="shared" si="11"/>
        <v>6653.6</v>
      </c>
      <c r="Q42" s="42">
        <v>4500</v>
      </c>
      <c r="R42" s="28">
        <f t="shared" si="12"/>
        <v>4500</v>
      </c>
      <c r="S42" s="42">
        <v>7210</v>
      </c>
      <c r="T42" s="28">
        <f t="shared" si="13"/>
        <v>7210</v>
      </c>
      <c r="U42" s="42">
        <v>6767</v>
      </c>
      <c r="V42" s="28">
        <f t="shared" si="14"/>
        <v>6767</v>
      </c>
      <c r="W42" s="42">
        <v>8500</v>
      </c>
      <c r="X42" s="28">
        <f t="shared" si="15"/>
        <v>8500</v>
      </c>
      <c r="Y42" s="42">
        <v>5600</v>
      </c>
      <c r="Z42" s="28">
        <f t="shared" si="16"/>
        <v>5600</v>
      </c>
    </row>
    <row r="43" spans="1:26" x14ac:dyDescent="0.25">
      <c r="A43" s="38" t="s">
        <v>78</v>
      </c>
      <c r="B43" s="39" t="s">
        <v>79</v>
      </c>
      <c r="C43" s="40" t="s">
        <v>34</v>
      </c>
      <c r="D43" s="41">
        <v>1</v>
      </c>
      <c r="E43" s="60"/>
      <c r="F43" s="60">
        <f t="shared" si="17"/>
        <v>0</v>
      </c>
      <c r="G43" s="55">
        <v>4900</v>
      </c>
      <c r="H43" s="28">
        <f t="shared" si="1"/>
        <v>4900</v>
      </c>
      <c r="I43" s="43">
        <v>3300</v>
      </c>
      <c r="J43" s="28">
        <f t="shared" si="18"/>
        <v>3300</v>
      </c>
      <c r="K43" s="43">
        <v>2033</v>
      </c>
      <c r="L43" s="28">
        <f t="shared" si="19"/>
        <v>2033</v>
      </c>
      <c r="M43" s="42">
        <v>1100</v>
      </c>
      <c r="N43" s="28">
        <f t="shared" si="20"/>
        <v>1100</v>
      </c>
      <c r="O43" s="42">
        <v>2251.37</v>
      </c>
      <c r="P43" s="28">
        <f t="shared" si="11"/>
        <v>2251.37</v>
      </c>
      <c r="Q43" s="42">
        <v>2700</v>
      </c>
      <c r="R43" s="28">
        <f t="shared" si="12"/>
        <v>2700</v>
      </c>
      <c r="S43" s="42">
        <v>3630</v>
      </c>
      <c r="T43" s="28">
        <f t="shared" si="13"/>
        <v>3630</v>
      </c>
      <c r="U43" s="42">
        <v>6375</v>
      </c>
      <c r="V43" s="28">
        <f t="shared" si="14"/>
        <v>6375</v>
      </c>
      <c r="W43" s="42">
        <v>4100</v>
      </c>
      <c r="X43" s="28">
        <f t="shared" si="15"/>
        <v>4100</v>
      </c>
      <c r="Y43" s="42">
        <v>4050</v>
      </c>
      <c r="Z43" s="28">
        <f t="shared" si="16"/>
        <v>4050</v>
      </c>
    </row>
    <row r="44" spans="1:26" x14ac:dyDescent="0.25">
      <c r="A44" s="45"/>
      <c r="B44" s="46"/>
      <c r="C44" s="47"/>
      <c r="D44" s="48" t="s">
        <v>102</v>
      </c>
      <c r="E44" s="59"/>
      <c r="F44" s="61">
        <f>SUM(F38:F43)</f>
        <v>54040</v>
      </c>
      <c r="G44" s="61"/>
      <c r="H44" s="61">
        <f>SUM(H38:H43)</f>
        <v>56270</v>
      </c>
      <c r="I44" s="61"/>
      <c r="J44" s="61">
        <f>SUM(J38:J43)</f>
        <v>40250</v>
      </c>
      <c r="K44" s="61"/>
      <c r="L44" s="61">
        <f>SUM(L38:L43)</f>
        <v>39340.75</v>
      </c>
      <c r="M44" s="61"/>
      <c r="N44" s="61">
        <f>SUM(N38:N43)</f>
        <v>42813</v>
      </c>
      <c r="O44" s="61"/>
      <c r="P44" s="61">
        <f>SUM(P38:P43)</f>
        <v>33320.58</v>
      </c>
      <c r="Q44" s="61"/>
      <c r="R44" s="61">
        <f>SUM(R38:R43)</f>
        <v>50122</v>
      </c>
      <c r="S44" s="61"/>
      <c r="T44" s="61">
        <f>SUM(T38:T43)</f>
        <v>29471</v>
      </c>
      <c r="U44" s="61"/>
      <c r="V44" s="61">
        <f>SUM(V38:V43)</f>
        <v>53845</v>
      </c>
      <c r="W44" s="61"/>
      <c r="X44" s="61">
        <f>SUM(X38:X43)</f>
        <v>70675</v>
      </c>
      <c r="Y44" s="61"/>
      <c r="Z44" s="61">
        <f>SUM(Z38:Z43)</f>
        <v>36390</v>
      </c>
    </row>
    <row r="45" spans="1:26" x14ac:dyDescent="0.25">
      <c r="A45" s="38"/>
      <c r="B45" s="49" t="s">
        <v>103</v>
      </c>
      <c r="C45" s="40"/>
      <c r="D45" s="41"/>
      <c r="E45" s="58"/>
      <c r="F45" s="58"/>
      <c r="G45" s="56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</row>
    <row r="46" spans="1:26" x14ac:dyDescent="0.25">
      <c r="A46" s="38" t="s">
        <v>104</v>
      </c>
      <c r="B46" s="39" t="s">
        <v>105</v>
      </c>
      <c r="C46" s="40" t="s">
        <v>27</v>
      </c>
      <c r="D46" s="41">
        <v>68</v>
      </c>
      <c r="E46" s="60">
        <v>50</v>
      </c>
      <c r="F46" s="60">
        <f>E46*D46</f>
        <v>3400</v>
      </c>
      <c r="G46" s="55">
        <v>160</v>
      </c>
      <c r="H46" s="28">
        <f t="shared" si="1"/>
        <v>10880</v>
      </c>
      <c r="I46" s="43">
        <v>50</v>
      </c>
      <c r="J46" s="28">
        <f>I46*D46</f>
        <v>3400</v>
      </c>
      <c r="K46" s="43">
        <v>42.25</v>
      </c>
      <c r="L46" s="28">
        <f t="shared" ref="L46" si="21">K46*D46</f>
        <v>2873</v>
      </c>
      <c r="M46" s="42">
        <v>148</v>
      </c>
      <c r="N46" s="28">
        <f>M46*D46</f>
        <v>10064</v>
      </c>
      <c r="O46" s="42">
        <v>23.51</v>
      </c>
      <c r="P46" s="28">
        <f t="shared" ref="P46" si="22">O46*D46</f>
        <v>1598.68</v>
      </c>
      <c r="Q46" s="42">
        <v>76</v>
      </c>
      <c r="R46" s="28">
        <f t="shared" ref="R46" si="23">Q46*D46</f>
        <v>5168</v>
      </c>
      <c r="S46" s="42">
        <v>436</v>
      </c>
      <c r="T46" s="28">
        <f t="shared" ref="T46" si="24">S46*D46</f>
        <v>29648</v>
      </c>
      <c r="U46" s="42">
        <v>124</v>
      </c>
      <c r="V46" s="28">
        <f t="shared" ref="V46" si="25">U46*D46</f>
        <v>8432</v>
      </c>
      <c r="W46" s="42">
        <v>30</v>
      </c>
      <c r="X46" s="28">
        <f t="shared" ref="X46" si="26">W46*D46</f>
        <v>2040</v>
      </c>
      <c r="Y46" s="42">
        <v>205</v>
      </c>
      <c r="Z46" s="28">
        <f t="shared" ref="Z46" si="27">Y46*D46</f>
        <v>13940</v>
      </c>
    </row>
    <row r="47" spans="1:26" x14ac:dyDescent="0.25">
      <c r="A47" s="45"/>
      <c r="B47" s="46"/>
      <c r="C47" s="47"/>
      <c r="D47" s="48" t="s">
        <v>106</v>
      </c>
      <c r="E47" s="59"/>
      <c r="F47" s="61">
        <f>SUM(F46)</f>
        <v>3400</v>
      </c>
      <c r="G47" s="61"/>
      <c r="H47" s="61">
        <f>H46</f>
        <v>10880</v>
      </c>
      <c r="I47" s="61"/>
      <c r="J47" s="61">
        <f>J46</f>
        <v>3400</v>
      </c>
      <c r="K47" s="61"/>
      <c r="L47" s="61">
        <f>L46</f>
        <v>2873</v>
      </c>
      <c r="M47" s="61"/>
      <c r="N47" s="61">
        <f>N46</f>
        <v>10064</v>
      </c>
      <c r="O47" s="61"/>
      <c r="P47" s="61">
        <f>P46</f>
        <v>1598.68</v>
      </c>
      <c r="Q47" s="61"/>
      <c r="R47" s="61">
        <f>R46</f>
        <v>5168</v>
      </c>
      <c r="S47" s="61"/>
      <c r="T47" s="61">
        <f>T46</f>
        <v>29648</v>
      </c>
      <c r="U47" s="61"/>
      <c r="V47" s="61">
        <f>V46</f>
        <v>8432</v>
      </c>
      <c r="W47" s="61"/>
      <c r="X47" s="61">
        <f>X46</f>
        <v>2040</v>
      </c>
      <c r="Y47" s="61"/>
      <c r="Z47" s="61">
        <f>Z46</f>
        <v>13940</v>
      </c>
    </row>
    <row r="48" spans="1:26" x14ac:dyDescent="0.25">
      <c r="A48" s="38"/>
      <c r="B48" s="49" t="s">
        <v>107</v>
      </c>
      <c r="C48" s="40"/>
      <c r="D48" s="41"/>
      <c r="E48" s="58"/>
      <c r="F48" s="58"/>
      <c r="G48" s="56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</row>
    <row r="49" spans="1:26" x14ac:dyDescent="0.25">
      <c r="A49" s="38" t="s">
        <v>108</v>
      </c>
      <c r="B49" s="39" t="s">
        <v>109</v>
      </c>
      <c r="C49" s="40" t="s">
        <v>22</v>
      </c>
      <c r="D49" s="41">
        <v>107</v>
      </c>
      <c r="E49" s="60">
        <v>100</v>
      </c>
      <c r="F49" s="60">
        <f>E49*D49</f>
        <v>10700</v>
      </c>
      <c r="G49" s="55">
        <v>100</v>
      </c>
      <c r="H49" s="28">
        <f t="shared" si="1"/>
        <v>10700</v>
      </c>
      <c r="I49" s="43">
        <v>37</v>
      </c>
      <c r="J49" s="28">
        <f>I49*D49</f>
        <v>3959</v>
      </c>
      <c r="K49" s="43">
        <v>62.75</v>
      </c>
      <c r="L49" s="28">
        <f t="shared" ref="L49:L52" si="28">K49*D49</f>
        <v>6714.25</v>
      </c>
      <c r="M49" s="42">
        <v>52.8</v>
      </c>
      <c r="N49" s="28">
        <f>M49*D49</f>
        <v>5649.5999999999995</v>
      </c>
      <c r="O49" s="42">
        <v>39.96</v>
      </c>
      <c r="P49" s="28">
        <f t="shared" ref="P49:P52" si="29">O49*D49</f>
        <v>4275.72</v>
      </c>
      <c r="Q49" s="42">
        <v>65</v>
      </c>
      <c r="R49" s="28">
        <f t="shared" ref="R49:R52" si="30">Q49*D49</f>
        <v>6955</v>
      </c>
      <c r="S49" s="42">
        <v>64.75</v>
      </c>
      <c r="T49" s="28">
        <f t="shared" ref="T49:T52" si="31">S49*D49</f>
        <v>6928.25</v>
      </c>
      <c r="U49" s="42">
        <v>73</v>
      </c>
      <c r="V49" s="28">
        <f t="shared" ref="V49:V52" si="32">U49*D49</f>
        <v>7811</v>
      </c>
      <c r="W49" s="42">
        <v>150</v>
      </c>
      <c r="X49" s="28">
        <f t="shared" ref="X49:X52" si="33">W49*D49</f>
        <v>16050</v>
      </c>
      <c r="Y49" s="42">
        <v>40</v>
      </c>
      <c r="Z49" s="28">
        <f t="shared" ref="Z49:Z52" si="34">Y49*D49</f>
        <v>4280</v>
      </c>
    </row>
    <row r="50" spans="1:26" x14ac:dyDescent="0.25">
      <c r="A50" s="38" t="s">
        <v>110</v>
      </c>
      <c r="B50" s="39" t="s">
        <v>111</v>
      </c>
      <c r="C50" s="40" t="s">
        <v>34</v>
      </c>
      <c r="D50" s="41">
        <v>3</v>
      </c>
      <c r="E50" s="60">
        <v>5000</v>
      </c>
      <c r="F50" s="60">
        <f t="shared" ref="F50:F52" si="35">E50*D50</f>
        <v>15000</v>
      </c>
      <c r="G50" s="55">
        <v>3300</v>
      </c>
      <c r="H50" s="28">
        <f t="shared" si="1"/>
        <v>9900</v>
      </c>
      <c r="I50" s="43">
        <v>1500</v>
      </c>
      <c r="J50" s="28">
        <f t="shared" ref="J50:J52" si="36">I50*D50</f>
        <v>4500</v>
      </c>
      <c r="K50" s="43">
        <v>3030</v>
      </c>
      <c r="L50" s="28">
        <f t="shared" si="28"/>
        <v>9090</v>
      </c>
      <c r="M50" s="42">
        <v>1780</v>
      </c>
      <c r="N50" s="28">
        <f t="shared" ref="N50:N52" si="37">M50*D50</f>
        <v>5340</v>
      </c>
      <c r="O50" s="42">
        <v>1620</v>
      </c>
      <c r="P50" s="28">
        <f t="shared" si="29"/>
        <v>4860</v>
      </c>
      <c r="Q50" s="42">
        <v>3140</v>
      </c>
      <c r="R50" s="28">
        <f t="shared" si="30"/>
        <v>9420</v>
      </c>
      <c r="S50" s="42">
        <v>3125</v>
      </c>
      <c r="T50" s="28">
        <f t="shared" si="31"/>
        <v>9375</v>
      </c>
      <c r="U50" s="42">
        <v>3515</v>
      </c>
      <c r="V50" s="28">
        <f t="shared" si="32"/>
        <v>10545</v>
      </c>
      <c r="W50" s="42">
        <v>2500</v>
      </c>
      <c r="X50" s="28">
        <f t="shared" si="33"/>
        <v>7500</v>
      </c>
      <c r="Y50" s="42">
        <v>1540</v>
      </c>
      <c r="Z50" s="28">
        <f t="shared" si="34"/>
        <v>4620</v>
      </c>
    </row>
    <row r="51" spans="1:26" x14ac:dyDescent="0.25">
      <c r="A51" s="38" t="s">
        <v>112</v>
      </c>
      <c r="B51" s="39" t="s">
        <v>113</v>
      </c>
      <c r="C51" s="40" t="s">
        <v>34</v>
      </c>
      <c r="D51" s="41">
        <v>1</v>
      </c>
      <c r="E51" s="60">
        <v>2000</v>
      </c>
      <c r="F51" s="60">
        <f t="shared" si="35"/>
        <v>2000</v>
      </c>
      <c r="G51" s="55">
        <v>2500</v>
      </c>
      <c r="H51" s="28">
        <f t="shared" si="1"/>
        <v>2500</v>
      </c>
      <c r="I51" s="43">
        <v>1970</v>
      </c>
      <c r="J51" s="28">
        <f t="shared" si="36"/>
        <v>1970</v>
      </c>
      <c r="K51" s="43">
        <v>2337</v>
      </c>
      <c r="L51" s="28">
        <f t="shared" si="28"/>
        <v>2337</v>
      </c>
      <c r="M51" s="42">
        <v>4560</v>
      </c>
      <c r="N51" s="28">
        <f t="shared" si="37"/>
        <v>4560</v>
      </c>
      <c r="O51" s="42">
        <v>2127.6</v>
      </c>
      <c r="P51" s="28">
        <f t="shared" si="29"/>
        <v>2127.6</v>
      </c>
      <c r="Q51" s="42">
        <v>2420</v>
      </c>
      <c r="R51" s="28">
        <f t="shared" si="30"/>
        <v>2420</v>
      </c>
      <c r="S51" s="42">
        <v>2410</v>
      </c>
      <c r="T51" s="28">
        <f t="shared" si="31"/>
        <v>2410</v>
      </c>
      <c r="U51" s="42">
        <v>2710</v>
      </c>
      <c r="V51" s="28">
        <f t="shared" si="32"/>
        <v>2710</v>
      </c>
      <c r="W51" s="42">
        <v>5705</v>
      </c>
      <c r="X51" s="28">
        <f t="shared" si="33"/>
        <v>5705</v>
      </c>
      <c r="Y51" s="42">
        <v>2010</v>
      </c>
      <c r="Z51" s="28">
        <f t="shared" si="34"/>
        <v>2010</v>
      </c>
    </row>
    <row r="52" spans="1:26" x14ac:dyDescent="0.25">
      <c r="A52" s="38" t="s">
        <v>78</v>
      </c>
      <c r="B52" s="39" t="s">
        <v>114</v>
      </c>
      <c r="C52" s="40" t="s">
        <v>34</v>
      </c>
      <c r="D52" s="41">
        <v>1</v>
      </c>
      <c r="E52" s="60"/>
      <c r="F52" s="60">
        <f t="shared" si="35"/>
        <v>0</v>
      </c>
      <c r="G52" s="55">
        <v>6500</v>
      </c>
      <c r="H52" s="28">
        <f t="shared" si="1"/>
        <v>6500</v>
      </c>
      <c r="I52" s="43">
        <v>3842</v>
      </c>
      <c r="J52" s="28">
        <f t="shared" si="36"/>
        <v>3842</v>
      </c>
      <c r="K52" s="43">
        <v>6017</v>
      </c>
      <c r="L52" s="28">
        <f t="shared" si="28"/>
        <v>6017</v>
      </c>
      <c r="M52" s="42">
        <v>2340</v>
      </c>
      <c r="N52" s="28">
        <f t="shared" si="37"/>
        <v>2340</v>
      </c>
      <c r="O52" s="42">
        <v>4149.3599999999997</v>
      </c>
      <c r="P52" s="28">
        <f t="shared" si="29"/>
        <v>4149.3599999999997</v>
      </c>
      <c r="Q52" s="42">
        <v>6232</v>
      </c>
      <c r="R52" s="28">
        <f t="shared" si="30"/>
        <v>6232</v>
      </c>
      <c r="S52" s="42">
        <v>6210</v>
      </c>
      <c r="T52" s="28">
        <f t="shared" si="31"/>
        <v>6210</v>
      </c>
      <c r="U52" s="42">
        <v>6980</v>
      </c>
      <c r="V52" s="28">
        <f t="shared" si="32"/>
        <v>6980</v>
      </c>
      <c r="W52" s="42">
        <v>7000</v>
      </c>
      <c r="X52" s="28">
        <f t="shared" si="33"/>
        <v>7000</v>
      </c>
      <c r="Y52" s="42">
        <v>4000</v>
      </c>
      <c r="Z52" s="28">
        <f t="shared" si="34"/>
        <v>4000</v>
      </c>
    </row>
    <row r="53" spans="1:26" x14ac:dyDescent="0.25">
      <c r="A53" s="45"/>
      <c r="B53" s="46"/>
      <c r="C53" s="47"/>
      <c r="D53" s="48" t="s">
        <v>115</v>
      </c>
      <c r="E53" s="59"/>
      <c r="F53" s="61">
        <f>SUM(F49:F52)</f>
        <v>27700</v>
      </c>
      <c r="G53" s="61"/>
      <c r="H53" s="61">
        <f>SUM(H49:H52)</f>
        <v>29600</v>
      </c>
      <c r="I53" s="61"/>
      <c r="J53" s="61">
        <f>SUM(J49:J52)</f>
        <v>14271</v>
      </c>
      <c r="K53" s="61"/>
      <c r="L53" s="61">
        <f>SUM(L49:L52)</f>
        <v>24158.25</v>
      </c>
      <c r="M53" s="61"/>
      <c r="N53" s="61">
        <f>SUM(N49:N52)</f>
        <v>17889.599999999999</v>
      </c>
      <c r="O53" s="61"/>
      <c r="P53" s="61">
        <f>SUM(P49:P52)</f>
        <v>15412.68</v>
      </c>
      <c r="Q53" s="61"/>
      <c r="R53" s="61">
        <f>SUM(R49:R52)</f>
        <v>25027</v>
      </c>
      <c r="S53" s="61"/>
      <c r="T53" s="61">
        <f>SUM(T49:T52)</f>
        <v>24923.25</v>
      </c>
      <c r="U53" s="61"/>
      <c r="V53" s="61">
        <f>SUM(V49:V52)</f>
        <v>28046</v>
      </c>
      <c r="W53" s="61"/>
      <c r="X53" s="61">
        <f>SUM(X49:X52)</f>
        <v>36255</v>
      </c>
      <c r="Y53" s="61"/>
      <c r="Z53" s="61">
        <f>SUM(Z49:Z52)</f>
        <v>14910</v>
      </c>
    </row>
    <row r="54" spans="1:26" s="73" customFormat="1" x14ac:dyDescent="0.25">
      <c r="A54" s="62"/>
      <c r="B54" s="118" t="s">
        <v>119</v>
      </c>
      <c r="C54" s="118"/>
      <c r="D54" s="119"/>
      <c r="E54" s="50"/>
      <c r="F54" s="113">
        <f>F53+F47+F44+F36</f>
        <v>483252</v>
      </c>
      <c r="G54" s="70"/>
      <c r="H54" s="71">
        <f>SUM(H53,H47,H44,H36)</f>
        <v>558502</v>
      </c>
      <c r="I54" s="72"/>
      <c r="J54" s="71">
        <f>SUM(J53,J47,J44,J36)</f>
        <v>628276</v>
      </c>
      <c r="K54" s="72"/>
      <c r="L54" s="71">
        <f>SUM(L53,L47,L44,L36)</f>
        <v>476944.64999999997</v>
      </c>
      <c r="M54" s="72"/>
      <c r="N54" s="71">
        <f>SUM(N53,N47,N44,N36)</f>
        <v>554747.5</v>
      </c>
      <c r="O54" s="72"/>
      <c r="P54" s="71">
        <f>SUM(P53,P47,P44,P36)</f>
        <v>478136.22</v>
      </c>
      <c r="Q54" s="72"/>
      <c r="R54" s="95">
        <f>SUM(R53,R47,R44,R36)</f>
        <v>452977.75</v>
      </c>
      <c r="S54" s="72"/>
      <c r="T54" s="71">
        <f>SUM(T53,T47,T44,T36)</f>
        <v>510986.95</v>
      </c>
      <c r="U54" s="72"/>
      <c r="V54" s="71">
        <f>SUM(V53,V47,V44,V36)</f>
        <v>396599</v>
      </c>
      <c r="W54" s="72"/>
      <c r="X54" s="71">
        <f>SUM(X53,X47,X44,X36)</f>
        <v>618680.64999999991</v>
      </c>
      <c r="Y54" s="72"/>
      <c r="Z54" s="71">
        <f>SUM(Z53,Z47,Z44,Z36)</f>
        <v>702500.3</v>
      </c>
    </row>
    <row r="55" spans="1:26" x14ac:dyDescent="0.25">
      <c r="A55" s="51"/>
      <c r="B55" s="52"/>
      <c r="C55" s="51"/>
      <c r="D55" s="53"/>
      <c r="E55" s="53"/>
      <c r="F55" s="53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114"/>
      <c r="V55" s="114"/>
      <c r="W55" s="30"/>
      <c r="X55" s="30"/>
      <c r="Y55" s="30"/>
      <c r="Z55" s="30"/>
    </row>
    <row r="56" spans="1:26" x14ac:dyDescent="0.25">
      <c r="A56" s="51"/>
      <c r="B56" s="52"/>
      <c r="C56" s="51"/>
      <c r="D56" s="53"/>
      <c r="E56" s="116" t="s">
        <v>145</v>
      </c>
      <c r="F56" s="116"/>
      <c r="G56" s="116"/>
      <c r="H56" s="116"/>
      <c r="I56" s="116"/>
      <c r="J56" s="116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1"/>
      <c r="W56" s="30"/>
      <c r="X56" s="30"/>
      <c r="Y56" s="30"/>
      <c r="Z56" s="30"/>
    </row>
    <row r="57" spans="1:26" x14ac:dyDescent="0.25">
      <c r="E57" s="62" t="s">
        <v>136</v>
      </c>
      <c r="F57" s="62" t="s">
        <v>137</v>
      </c>
      <c r="G57" s="23" t="s">
        <v>140</v>
      </c>
      <c r="H57" s="63" t="s">
        <v>138</v>
      </c>
      <c r="I57" s="64" t="s">
        <v>139</v>
      </c>
      <c r="J57" s="23" t="s">
        <v>141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2"/>
      <c r="V57" s="33"/>
      <c r="W57" s="30"/>
      <c r="X57" s="30"/>
      <c r="Y57" s="30"/>
      <c r="Z57" s="30"/>
    </row>
    <row r="58" spans="1:26" x14ac:dyDescent="0.25">
      <c r="E58" s="65">
        <v>1</v>
      </c>
      <c r="F58" s="66" t="s">
        <v>126</v>
      </c>
      <c r="G58" s="67">
        <f>V54</f>
        <v>396599</v>
      </c>
      <c r="H58" s="68">
        <f t="shared" ref="H58:H67" si="38">G58-$G$58</f>
        <v>0</v>
      </c>
      <c r="I58" s="85">
        <f t="shared" ref="I58:I67" si="39">(G58/$G$58)-1</f>
        <v>0</v>
      </c>
      <c r="J58" s="69">
        <f>5/(1+I58)</f>
        <v>5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x14ac:dyDescent="0.25">
      <c r="E59" s="65">
        <v>2</v>
      </c>
      <c r="F59" s="66" t="s">
        <v>124</v>
      </c>
      <c r="G59" s="68">
        <f>R54</f>
        <v>452977.75</v>
      </c>
      <c r="H59" s="68">
        <f t="shared" si="38"/>
        <v>56378.75</v>
      </c>
      <c r="I59" s="85">
        <f t="shared" si="39"/>
        <v>0.14215555258586132</v>
      </c>
      <c r="J59" s="69">
        <f t="shared" ref="J59:J67" si="40">5/(1+I59)</f>
        <v>4.3776874250446074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x14ac:dyDescent="0.25">
      <c r="E60" s="65">
        <v>3</v>
      </c>
      <c r="F60" s="66" t="s">
        <v>121</v>
      </c>
      <c r="G60" s="68">
        <f>L54</f>
        <v>476944.64999999997</v>
      </c>
      <c r="H60" s="68">
        <f t="shared" si="38"/>
        <v>80345.649999999965</v>
      </c>
      <c r="I60" s="85">
        <f t="shared" si="39"/>
        <v>0.20258661771713982</v>
      </c>
      <c r="J60" s="69">
        <f t="shared" si="40"/>
        <v>4.1577046728587908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5">
      <c r="E61" s="65">
        <v>4</v>
      </c>
      <c r="F61" s="66" t="s">
        <v>123</v>
      </c>
      <c r="G61" s="68">
        <f>P54</f>
        <v>478136.22</v>
      </c>
      <c r="H61" s="68">
        <f t="shared" si="38"/>
        <v>81537.219999999972</v>
      </c>
      <c r="I61" s="85">
        <f t="shared" si="39"/>
        <v>0.20559108822765548</v>
      </c>
      <c r="J61" s="69">
        <f t="shared" si="40"/>
        <v>4.1473431985554248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x14ac:dyDescent="0.25">
      <c r="E62" s="65">
        <v>5</v>
      </c>
      <c r="F62" s="66" t="s">
        <v>125</v>
      </c>
      <c r="G62" s="68">
        <f>T54</f>
        <v>510986.95</v>
      </c>
      <c r="H62" s="68">
        <f t="shared" si="38"/>
        <v>114387.95000000001</v>
      </c>
      <c r="I62" s="85">
        <f t="shared" si="39"/>
        <v>0.28842218462477209</v>
      </c>
      <c r="J62" s="69">
        <f t="shared" si="40"/>
        <v>3.8807155446924821</v>
      </c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x14ac:dyDescent="0.25">
      <c r="E63" s="65">
        <v>6</v>
      </c>
      <c r="F63" s="66" t="s">
        <v>122</v>
      </c>
      <c r="G63" s="68">
        <f>N54</f>
        <v>554747.5</v>
      </c>
      <c r="H63" s="68">
        <f t="shared" si="38"/>
        <v>158148.5</v>
      </c>
      <c r="I63" s="85">
        <f t="shared" si="39"/>
        <v>0.39876172153737155</v>
      </c>
      <c r="J63" s="69">
        <f t="shared" si="40"/>
        <v>3.5745902415062707</v>
      </c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x14ac:dyDescent="0.25">
      <c r="E64" s="65">
        <v>7</v>
      </c>
      <c r="F64" s="66" t="s">
        <v>116</v>
      </c>
      <c r="G64" s="68">
        <f>H54</f>
        <v>558502</v>
      </c>
      <c r="H64" s="68">
        <f t="shared" si="38"/>
        <v>161903</v>
      </c>
      <c r="I64" s="85">
        <f t="shared" si="39"/>
        <v>0.40822846250242684</v>
      </c>
      <c r="J64" s="69">
        <f t="shared" si="40"/>
        <v>3.5505602486651795</v>
      </c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x14ac:dyDescent="0.25">
      <c r="E65" s="65">
        <v>8</v>
      </c>
      <c r="F65" s="66" t="s">
        <v>127</v>
      </c>
      <c r="G65" s="68">
        <f>X54</f>
        <v>618680.64999999991</v>
      </c>
      <c r="H65" s="68">
        <f t="shared" si="38"/>
        <v>222081.64999999991</v>
      </c>
      <c r="I65" s="85">
        <f t="shared" si="39"/>
        <v>0.5599652293626558</v>
      </c>
      <c r="J65" s="69">
        <f t="shared" si="40"/>
        <v>3.2051996454067218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x14ac:dyDescent="0.25">
      <c r="E66" s="65">
        <v>9</v>
      </c>
      <c r="F66" s="66" t="s">
        <v>120</v>
      </c>
      <c r="G66" s="68">
        <f>J54</f>
        <v>628276</v>
      </c>
      <c r="H66" s="68">
        <f t="shared" si="38"/>
        <v>231677</v>
      </c>
      <c r="I66" s="85">
        <f t="shared" si="39"/>
        <v>0.58415931457214976</v>
      </c>
      <c r="J66" s="69">
        <f t="shared" si="40"/>
        <v>3.1562482093856841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x14ac:dyDescent="0.25">
      <c r="E67" s="65">
        <v>10</v>
      </c>
      <c r="F67" s="66" t="s">
        <v>128</v>
      </c>
      <c r="G67" s="68">
        <f>Z54</f>
        <v>702500.3</v>
      </c>
      <c r="H67" s="68">
        <f t="shared" si="38"/>
        <v>305901.30000000005</v>
      </c>
      <c r="I67" s="85">
        <f t="shared" si="39"/>
        <v>0.77131132453687479</v>
      </c>
      <c r="J67" s="69">
        <f t="shared" si="40"/>
        <v>2.8227674778217176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x14ac:dyDescent="0.25">
      <c r="A68" s="19"/>
      <c r="B68" s="20"/>
      <c r="C68" s="19"/>
      <c r="D68" s="21"/>
      <c r="E68" s="21"/>
      <c r="F68" s="21"/>
    </row>
    <row r="69" spans="1:26" x14ac:dyDescent="0.25">
      <c r="A69" s="19"/>
      <c r="B69" s="20"/>
      <c r="C69" s="19"/>
      <c r="D69" s="21"/>
      <c r="E69" s="117" t="s">
        <v>146</v>
      </c>
      <c r="F69" s="117"/>
      <c r="G69" s="117"/>
      <c r="H69" s="117"/>
      <c r="I69" s="117"/>
      <c r="J69" s="117"/>
    </row>
    <row r="70" spans="1:26" x14ac:dyDescent="0.25">
      <c r="A70" s="19"/>
      <c r="B70" s="20"/>
      <c r="C70" s="19"/>
      <c r="D70" s="21"/>
      <c r="E70" s="62" t="s">
        <v>136</v>
      </c>
      <c r="F70" s="62" t="s">
        <v>137</v>
      </c>
      <c r="G70" s="23" t="s">
        <v>140</v>
      </c>
      <c r="H70" s="63" t="s">
        <v>138</v>
      </c>
      <c r="I70" s="64" t="s">
        <v>139</v>
      </c>
      <c r="J70" s="23" t="s">
        <v>141</v>
      </c>
    </row>
    <row r="71" spans="1:26" x14ac:dyDescent="0.25">
      <c r="A71" s="19"/>
      <c r="B71" s="20"/>
      <c r="C71" s="19"/>
      <c r="D71" s="21"/>
      <c r="E71" s="65">
        <v>1</v>
      </c>
      <c r="F71" s="81" t="s">
        <v>126</v>
      </c>
      <c r="G71" s="82">
        <v>306276</v>
      </c>
      <c r="H71" s="83">
        <f>G71-$G$71</f>
        <v>0</v>
      </c>
      <c r="I71" s="84">
        <f>(G71/$G$71)-1</f>
        <v>0</v>
      </c>
      <c r="J71" s="4">
        <f>5/(1+I71)</f>
        <v>5</v>
      </c>
    </row>
    <row r="72" spans="1:26" x14ac:dyDescent="0.25">
      <c r="A72" s="19"/>
      <c r="B72" s="20"/>
      <c r="C72" s="19"/>
      <c r="D72" s="21"/>
      <c r="E72" s="65">
        <v>2</v>
      </c>
      <c r="F72" s="81" t="s">
        <v>189</v>
      </c>
      <c r="G72" s="82">
        <v>372660.75</v>
      </c>
      <c r="H72" s="83">
        <f t="shared" ref="H72:H80" si="41">G72-$G$71</f>
        <v>66384.75</v>
      </c>
      <c r="I72" s="84">
        <f t="shared" ref="I72:I80" si="42">(G72/$G$71)-1</f>
        <v>0.21674812913842412</v>
      </c>
      <c r="J72" s="4">
        <f t="shared" ref="J72:J80" si="43">5/(1+I72)</f>
        <v>4.1093139001088792</v>
      </c>
    </row>
    <row r="73" spans="1:26" x14ac:dyDescent="0.25">
      <c r="A73" s="19"/>
      <c r="B73" s="20"/>
      <c r="C73" s="19"/>
      <c r="D73" s="21"/>
      <c r="E73" s="65">
        <v>3</v>
      </c>
      <c r="F73" s="81" t="s">
        <v>121</v>
      </c>
      <c r="G73" s="82">
        <v>410572.65</v>
      </c>
      <c r="H73" s="83">
        <f t="shared" si="41"/>
        <v>104296.65000000002</v>
      </c>
      <c r="I73" s="84">
        <f t="shared" si="42"/>
        <v>0.34053157935979317</v>
      </c>
      <c r="J73" s="4">
        <f t="shared" si="43"/>
        <v>3.7298636428899976</v>
      </c>
    </row>
    <row r="74" spans="1:26" x14ac:dyDescent="0.25">
      <c r="A74" s="19"/>
      <c r="B74" s="20"/>
      <c r="C74" s="19"/>
      <c r="D74" s="21"/>
      <c r="E74" s="65">
        <v>4</v>
      </c>
      <c r="F74" s="81" t="s">
        <v>125</v>
      </c>
      <c r="G74" s="82">
        <v>426944.7</v>
      </c>
      <c r="H74" s="83">
        <f t="shared" si="41"/>
        <v>120668.70000000001</v>
      </c>
      <c r="I74" s="84">
        <f t="shared" si="42"/>
        <v>0.39398679622301458</v>
      </c>
      <c r="J74" s="4">
        <f t="shared" si="43"/>
        <v>3.5868345478934391</v>
      </c>
    </row>
    <row r="75" spans="1:26" x14ac:dyDescent="0.25">
      <c r="A75" s="19"/>
      <c r="B75" s="20"/>
      <c r="C75" s="19"/>
      <c r="D75" s="21"/>
      <c r="E75" s="65">
        <v>5</v>
      </c>
      <c r="F75" s="81" t="s">
        <v>123</v>
      </c>
      <c r="G75" s="82">
        <v>427804.28</v>
      </c>
      <c r="H75" s="83">
        <f t="shared" si="41"/>
        <v>121528.28000000003</v>
      </c>
      <c r="I75" s="84">
        <f t="shared" si="42"/>
        <v>0.39679334978907921</v>
      </c>
      <c r="J75" s="4">
        <f t="shared" si="43"/>
        <v>3.5796275810985341</v>
      </c>
    </row>
    <row r="76" spans="1:26" x14ac:dyDescent="0.25">
      <c r="A76" s="19"/>
      <c r="B76" s="20"/>
      <c r="C76" s="19"/>
      <c r="D76" s="21"/>
      <c r="E76" s="65">
        <v>6</v>
      </c>
      <c r="F76" s="81" t="s">
        <v>190</v>
      </c>
      <c r="G76" s="82">
        <v>461752</v>
      </c>
      <c r="H76" s="83">
        <f t="shared" si="41"/>
        <v>155476</v>
      </c>
      <c r="I76" s="84">
        <f t="shared" si="42"/>
        <v>0.50763363763402936</v>
      </c>
      <c r="J76" s="4">
        <f t="shared" si="43"/>
        <v>3.3164555865486238</v>
      </c>
    </row>
    <row r="77" spans="1:26" x14ac:dyDescent="0.25">
      <c r="A77" s="19"/>
      <c r="B77" s="20"/>
      <c r="C77" s="19"/>
      <c r="D77" s="21"/>
      <c r="E77" s="65">
        <v>7</v>
      </c>
      <c r="F77" s="81" t="s">
        <v>122</v>
      </c>
      <c r="G77" s="82">
        <v>483980.9</v>
      </c>
      <c r="H77" s="83">
        <f t="shared" si="41"/>
        <v>177704.90000000002</v>
      </c>
      <c r="I77" s="84">
        <f t="shared" si="42"/>
        <v>0.58021163917512308</v>
      </c>
      <c r="J77" s="4">
        <f t="shared" si="43"/>
        <v>3.1641331300470741</v>
      </c>
    </row>
    <row r="78" spans="1:26" x14ac:dyDescent="0.25">
      <c r="A78" s="19"/>
      <c r="B78" s="20"/>
      <c r="C78" s="19"/>
      <c r="D78" s="21"/>
      <c r="E78" s="65">
        <v>8</v>
      </c>
      <c r="F78" s="81" t="s">
        <v>191</v>
      </c>
      <c r="G78" s="82">
        <v>509710.65</v>
      </c>
      <c r="H78" s="83">
        <f t="shared" si="41"/>
        <v>203434.65000000002</v>
      </c>
      <c r="I78" s="84">
        <f t="shared" si="42"/>
        <v>0.66422001723935287</v>
      </c>
      <c r="J78" s="4">
        <f t="shared" si="43"/>
        <v>3.0044104434545362</v>
      </c>
    </row>
    <row r="79" spans="1:26" x14ac:dyDescent="0.25">
      <c r="A79" s="19"/>
      <c r="B79" s="20"/>
      <c r="C79" s="19"/>
      <c r="D79" s="21"/>
      <c r="E79" s="65">
        <v>9</v>
      </c>
      <c r="F79" s="81" t="s">
        <v>120</v>
      </c>
      <c r="G79" s="82">
        <v>570355</v>
      </c>
      <c r="H79" s="83">
        <f t="shared" si="41"/>
        <v>264079</v>
      </c>
      <c r="I79" s="84">
        <f t="shared" si="42"/>
        <v>0.86222557431858848</v>
      </c>
      <c r="J79" s="4">
        <f t="shared" si="43"/>
        <v>2.6849593674115244</v>
      </c>
    </row>
    <row r="80" spans="1:26" x14ac:dyDescent="0.25">
      <c r="A80" s="19"/>
      <c r="B80" s="20"/>
      <c r="C80" s="19"/>
      <c r="D80" s="21"/>
      <c r="E80" s="65">
        <v>10</v>
      </c>
      <c r="F80" s="81" t="s">
        <v>128</v>
      </c>
      <c r="G80" s="82">
        <v>637260.30000000005</v>
      </c>
      <c r="H80" s="83">
        <f t="shared" si="41"/>
        <v>330984.30000000005</v>
      </c>
      <c r="I80" s="84">
        <f t="shared" si="42"/>
        <v>1.0806733142655647</v>
      </c>
      <c r="J80" s="4">
        <f t="shared" si="43"/>
        <v>2.4030682595479425</v>
      </c>
    </row>
    <row r="81" spans="1:12" x14ac:dyDescent="0.25">
      <c r="A81" s="19"/>
      <c r="B81" s="20"/>
      <c r="C81" s="19"/>
      <c r="D81" s="21"/>
      <c r="E81" s="21"/>
      <c r="F81" s="21"/>
    </row>
    <row r="82" spans="1:12" x14ac:dyDescent="0.25">
      <c r="A82" s="19"/>
      <c r="B82" s="20"/>
      <c r="C82" s="19"/>
      <c r="D82" s="21"/>
      <c r="E82" s="21"/>
      <c r="F82" s="21"/>
    </row>
    <row r="83" spans="1:12" x14ac:dyDescent="0.25">
      <c r="A83" s="19"/>
      <c r="B83" s="20"/>
      <c r="C83" s="19"/>
      <c r="D83" s="21"/>
      <c r="E83" s="121" t="s">
        <v>188</v>
      </c>
      <c r="F83" s="121"/>
      <c r="G83" s="121"/>
      <c r="H83" s="121"/>
      <c r="I83" s="121"/>
      <c r="J83" s="121"/>
    </row>
    <row r="84" spans="1:12" x14ac:dyDescent="0.25">
      <c r="A84" s="19"/>
      <c r="B84" s="20"/>
      <c r="C84" s="19"/>
      <c r="D84" s="21"/>
      <c r="E84" s="62" t="s">
        <v>136</v>
      </c>
      <c r="F84" s="62" t="s">
        <v>137</v>
      </c>
      <c r="G84" s="23" t="s">
        <v>140</v>
      </c>
      <c r="H84" s="63" t="s">
        <v>138</v>
      </c>
      <c r="I84" s="64" t="s">
        <v>139</v>
      </c>
      <c r="J84" s="23" t="s">
        <v>141</v>
      </c>
    </row>
    <row r="85" spans="1:12" x14ac:dyDescent="0.25">
      <c r="A85" s="19"/>
      <c r="B85" s="20"/>
      <c r="C85" s="19"/>
      <c r="D85" s="21"/>
      <c r="E85" s="65">
        <v>1</v>
      </c>
      <c r="F85" s="81" t="s">
        <v>126</v>
      </c>
      <c r="G85" s="82">
        <f>G71+8432</f>
        <v>314708</v>
      </c>
      <c r="H85" s="83">
        <f>G85-$G$85</f>
        <v>0</v>
      </c>
      <c r="I85" s="84">
        <f>(G85/$G$85)-1</f>
        <v>0</v>
      </c>
      <c r="J85" s="4">
        <f>5/(1+I85)</f>
        <v>5</v>
      </c>
    </row>
    <row r="86" spans="1:12" x14ac:dyDescent="0.25">
      <c r="A86" s="19"/>
      <c r="B86" s="20"/>
      <c r="C86" s="19"/>
      <c r="D86" s="21"/>
      <c r="E86" s="65">
        <v>2</v>
      </c>
      <c r="F86" s="81" t="s">
        <v>189</v>
      </c>
      <c r="G86" s="82">
        <f>G72+5168</f>
        <v>377828.75</v>
      </c>
      <c r="H86" s="83">
        <f t="shared" ref="H86:H94" si="44">G86-$G$85</f>
        <v>63120.75</v>
      </c>
      <c r="I86" s="84">
        <f t="shared" ref="I86:I94" si="45">(G86/$G$85)-1</f>
        <v>0.20056925785172286</v>
      </c>
      <c r="J86" s="4">
        <f t="shared" ref="J86:J94" si="46">5/(1+I86)</f>
        <v>4.1646910141168449</v>
      </c>
      <c r="L86" s="86"/>
    </row>
    <row r="87" spans="1:12" x14ac:dyDescent="0.25">
      <c r="A87" s="19"/>
      <c r="B87" s="20"/>
      <c r="C87" s="19"/>
      <c r="D87" s="21"/>
      <c r="E87" s="65">
        <v>3</v>
      </c>
      <c r="F87" s="81" t="str">
        <f t="shared" ref="F87:F94" si="47">F73</f>
        <v>NCC</v>
      </c>
      <c r="G87" s="82">
        <f>G73+2873</f>
        <v>413445.65</v>
      </c>
      <c r="H87" s="83">
        <f t="shared" si="44"/>
        <v>98737.650000000023</v>
      </c>
      <c r="I87" s="84">
        <f t="shared" si="45"/>
        <v>0.31374369256580703</v>
      </c>
      <c r="J87" s="4">
        <f t="shared" si="46"/>
        <v>3.80591741623113</v>
      </c>
    </row>
    <row r="88" spans="1:12" x14ac:dyDescent="0.25">
      <c r="A88" s="19"/>
      <c r="B88" s="20"/>
      <c r="C88" s="19"/>
      <c r="D88" s="21"/>
      <c r="E88" s="65">
        <v>4</v>
      </c>
      <c r="F88" s="81" t="str">
        <f t="shared" si="47"/>
        <v>HEI Civil</v>
      </c>
      <c r="G88" s="82">
        <f>G74+1598.68</f>
        <v>428543.38</v>
      </c>
      <c r="H88" s="83">
        <f t="shared" si="44"/>
        <v>113835.38</v>
      </c>
      <c r="I88" s="84">
        <f t="shared" si="45"/>
        <v>0.36171746507873959</v>
      </c>
      <c r="J88" s="4">
        <f t="shared" si="46"/>
        <v>3.6718336426057965</v>
      </c>
    </row>
    <row r="89" spans="1:12" x14ac:dyDescent="0.25">
      <c r="A89" s="19"/>
      <c r="B89" s="20"/>
      <c r="C89" s="19"/>
      <c r="D89" s="21"/>
      <c r="E89" s="65">
        <v>5</v>
      </c>
      <c r="F89" s="81" t="str">
        <f t="shared" si="47"/>
        <v>DeFalco</v>
      </c>
      <c r="G89" s="82">
        <f>G75+29648</f>
        <v>457452.28</v>
      </c>
      <c r="H89" s="83">
        <f t="shared" si="44"/>
        <v>142744.28000000003</v>
      </c>
      <c r="I89" s="84">
        <f t="shared" si="45"/>
        <v>0.45357690303392362</v>
      </c>
      <c r="J89" s="4">
        <f t="shared" si="46"/>
        <v>3.4397904848129732</v>
      </c>
    </row>
    <row r="90" spans="1:12" x14ac:dyDescent="0.25">
      <c r="A90" s="19"/>
      <c r="B90" s="20"/>
      <c r="C90" s="19"/>
      <c r="D90" s="21"/>
      <c r="E90" s="65">
        <v>6</v>
      </c>
      <c r="F90" s="81" t="str">
        <f t="shared" si="47"/>
        <v>Edge</v>
      </c>
      <c r="G90" s="82">
        <f>G76+10880</f>
        <v>472632</v>
      </c>
      <c r="H90" s="83">
        <f t="shared" si="44"/>
        <v>157924</v>
      </c>
      <c r="I90" s="84">
        <f t="shared" si="45"/>
        <v>0.50181120276573843</v>
      </c>
      <c r="J90" s="4">
        <f t="shared" si="46"/>
        <v>3.3293132923712316</v>
      </c>
    </row>
    <row r="91" spans="1:12" x14ac:dyDescent="0.25">
      <c r="A91" s="19"/>
      <c r="B91" s="20"/>
      <c r="C91" s="19"/>
      <c r="D91" s="21"/>
      <c r="E91" s="65">
        <v>7</v>
      </c>
      <c r="F91" s="81" t="str">
        <f t="shared" si="47"/>
        <v>Connell</v>
      </c>
      <c r="G91" s="82">
        <f>G77+10064</f>
        <v>494044.9</v>
      </c>
      <c r="H91" s="83">
        <f t="shared" si="44"/>
        <v>179336.90000000002</v>
      </c>
      <c r="I91" s="84">
        <f t="shared" si="45"/>
        <v>0.56985173557710644</v>
      </c>
      <c r="J91" s="4">
        <f t="shared" si="46"/>
        <v>3.185014155595979</v>
      </c>
    </row>
    <row r="92" spans="1:12" x14ac:dyDescent="0.25">
      <c r="A92" s="19"/>
      <c r="B92" s="20"/>
      <c r="C92" s="19"/>
      <c r="D92" s="21"/>
      <c r="E92" s="65">
        <v>8</v>
      </c>
      <c r="F92" s="81" t="str">
        <f t="shared" si="47"/>
        <v>Tuston</v>
      </c>
      <c r="G92" s="82">
        <f>G78+2040</f>
        <v>511750.65</v>
      </c>
      <c r="H92" s="83">
        <f t="shared" si="44"/>
        <v>197042.65000000002</v>
      </c>
      <c r="I92" s="84">
        <f t="shared" si="45"/>
        <v>0.62611261868144452</v>
      </c>
      <c r="J92" s="4">
        <f t="shared" si="46"/>
        <v>3.0748177847942153</v>
      </c>
    </row>
    <row r="93" spans="1:12" x14ac:dyDescent="0.25">
      <c r="A93" s="19"/>
      <c r="B93" s="20"/>
      <c r="C93" s="19"/>
      <c r="D93" s="21"/>
      <c r="E93" s="65">
        <v>9</v>
      </c>
      <c r="F93" s="81" t="str">
        <f t="shared" si="47"/>
        <v>Myers &amp; Sons</v>
      </c>
      <c r="G93" s="82">
        <f>G79+3400</f>
        <v>573755</v>
      </c>
      <c r="H93" s="83">
        <f t="shared" si="44"/>
        <v>259047</v>
      </c>
      <c r="I93" s="84">
        <f t="shared" si="45"/>
        <v>0.82313446115128941</v>
      </c>
      <c r="J93" s="4">
        <f t="shared" si="46"/>
        <v>2.7425294768673041</v>
      </c>
    </row>
    <row r="94" spans="1:12" x14ac:dyDescent="0.25">
      <c r="A94" s="19"/>
      <c r="B94" s="20"/>
      <c r="C94" s="19"/>
      <c r="D94" s="21"/>
      <c r="E94" s="65">
        <v>10</v>
      </c>
      <c r="F94" s="81" t="str">
        <f t="shared" si="47"/>
        <v>WW Clyde</v>
      </c>
      <c r="G94" s="82">
        <f>G80+13940</f>
        <v>651200.30000000005</v>
      </c>
      <c r="H94" s="83">
        <f t="shared" si="44"/>
        <v>336492.30000000005</v>
      </c>
      <c r="I94" s="84">
        <f t="shared" si="45"/>
        <v>1.0692206744029389</v>
      </c>
      <c r="J94" s="4">
        <f t="shared" si="46"/>
        <v>2.4163686656778256</v>
      </c>
    </row>
    <row r="95" spans="1:12" x14ac:dyDescent="0.25">
      <c r="A95" s="19"/>
      <c r="B95" s="20"/>
      <c r="C95" s="19"/>
      <c r="D95" s="21"/>
      <c r="E95" s="21"/>
      <c r="F95" s="21"/>
    </row>
    <row r="96" spans="1:12" x14ac:dyDescent="0.25">
      <c r="A96" s="19"/>
      <c r="B96" s="20"/>
      <c r="C96" s="19"/>
      <c r="D96" s="21"/>
      <c r="E96" s="21"/>
      <c r="F96" s="21"/>
    </row>
    <row r="97" spans="1:6" x14ac:dyDescent="0.25">
      <c r="A97" s="19"/>
      <c r="B97" s="20"/>
      <c r="C97" s="19"/>
      <c r="D97" s="21"/>
      <c r="E97" s="21"/>
      <c r="F97" s="21"/>
    </row>
    <row r="98" spans="1:6" x14ac:dyDescent="0.25">
      <c r="A98" s="19"/>
      <c r="B98" s="20"/>
      <c r="C98" s="19"/>
      <c r="D98" s="21"/>
      <c r="E98" s="21"/>
      <c r="F98" s="21"/>
    </row>
    <row r="99" spans="1:6" x14ac:dyDescent="0.25">
      <c r="A99" s="19"/>
      <c r="B99" s="20"/>
      <c r="C99" s="19"/>
      <c r="D99" s="21"/>
      <c r="E99" s="21"/>
      <c r="F99" s="21"/>
    </row>
    <row r="100" spans="1:6" x14ac:dyDescent="0.25">
      <c r="A100" s="19"/>
      <c r="B100" s="20"/>
      <c r="C100" s="19"/>
      <c r="D100" s="21"/>
      <c r="E100" s="21"/>
      <c r="F100" s="21"/>
    </row>
    <row r="101" spans="1:6" x14ac:dyDescent="0.25">
      <c r="A101" s="19"/>
      <c r="B101" s="20"/>
      <c r="C101" s="19"/>
      <c r="D101" s="21"/>
      <c r="E101" s="21"/>
      <c r="F101" s="21"/>
    </row>
    <row r="102" spans="1:6" x14ac:dyDescent="0.25">
      <c r="A102" s="19"/>
      <c r="B102" s="20"/>
      <c r="C102" s="19"/>
      <c r="D102" s="21"/>
      <c r="E102" s="21"/>
      <c r="F102" s="21"/>
    </row>
    <row r="103" spans="1:6" x14ac:dyDescent="0.25">
      <c r="A103" s="19"/>
      <c r="B103" s="20"/>
      <c r="C103" s="19"/>
      <c r="D103" s="21"/>
      <c r="E103" s="21"/>
      <c r="F103" s="21"/>
    </row>
    <row r="104" spans="1:6" x14ac:dyDescent="0.25">
      <c r="A104" s="19"/>
      <c r="B104" s="20"/>
      <c r="C104" s="19"/>
      <c r="D104" s="21"/>
      <c r="E104" s="21"/>
      <c r="F104" s="21"/>
    </row>
    <row r="105" spans="1:6" x14ac:dyDescent="0.25">
      <c r="A105" s="19"/>
      <c r="B105" s="20"/>
      <c r="C105" s="19"/>
      <c r="D105" s="21"/>
      <c r="E105" s="21"/>
      <c r="F105" s="21"/>
    </row>
    <row r="106" spans="1:6" x14ac:dyDescent="0.25">
      <c r="A106" s="19"/>
      <c r="B106" s="20"/>
      <c r="C106" s="19"/>
      <c r="D106" s="21"/>
      <c r="E106" s="21"/>
      <c r="F106" s="21"/>
    </row>
    <row r="107" spans="1:6" x14ac:dyDescent="0.25">
      <c r="A107" s="19"/>
      <c r="B107" s="20"/>
      <c r="C107" s="19"/>
      <c r="D107" s="21"/>
      <c r="E107" s="21"/>
      <c r="F107" s="21"/>
    </row>
    <row r="108" spans="1:6" x14ac:dyDescent="0.25">
      <c r="A108" s="19"/>
      <c r="B108" s="20"/>
      <c r="C108" s="19"/>
      <c r="D108" s="21"/>
      <c r="E108" s="21"/>
      <c r="F108" s="21"/>
    </row>
    <row r="109" spans="1:6" x14ac:dyDescent="0.25">
      <c r="A109" s="19"/>
      <c r="B109" s="20"/>
      <c r="C109" s="19"/>
      <c r="D109" s="21"/>
      <c r="E109" s="21"/>
      <c r="F109" s="21"/>
    </row>
    <row r="110" spans="1:6" x14ac:dyDescent="0.25">
      <c r="A110" s="19"/>
      <c r="B110" s="20"/>
      <c r="C110" s="19"/>
      <c r="D110" s="21"/>
      <c r="E110" s="21"/>
      <c r="F110" s="21"/>
    </row>
    <row r="111" spans="1:6" x14ac:dyDescent="0.25">
      <c r="A111" s="19"/>
      <c r="B111" s="20"/>
      <c r="C111" s="19"/>
      <c r="D111" s="21"/>
      <c r="E111" s="21"/>
      <c r="F111" s="21"/>
    </row>
    <row r="112" spans="1:6" x14ac:dyDescent="0.25">
      <c r="A112" s="19"/>
      <c r="B112" s="20"/>
      <c r="C112" s="19"/>
      <c r="D112" s="21"/>
      <c r="E112" s="21"/>
      <c r="F112" s="21"/>
    </row>
    <row r="113" spans="1:6" x14ac:dyDescent="0.25">
      <c r="A113" s="19"/>
      <c r="B113" s="20"/>
      <c r="C113" s="19"/>
      <c r="D113" s="22"/>
      <c r="E113" s="22"/>
      <c r="F113" s="22"/>
    </row>
    <row r="114" spans="1:6" x14ac:dyDescent="0.25">
      <c r="A114" s="19"/>
      <c r="B114" s="20"/>
      <c r="C114" s="19"/>
      <c r="D114" s="22"/>
      <c r="E114" s="22"/>
      <c r="F114" s="22"/>
    </row>
    <row r="115" spans="1:6" x14ac:dyDescent="0.25">
      <c r="A115" s="19"/>
      <c r="B115" s="20"/>
      <c r="C115" s="19"/>
      <c r="D115" s="22"/>
      <c r="E115" s="22"/>
      <c r="F115" s="22"/>
    </row>
    <row r="116" spans="1:6" x14ac:dyDescent="0.25">
      <c r="A116" s="19"/>
      <c r="B116" s="20"/>
      <c r="C116" s="19"/>
      <c r="D116" s="22"/>
      <c r="E116" s="22"/>
      <c r="F116" s="22"/>
    </row>
    <row r="117" spans="1:6" x14ac:dyDescent="0.25">
      <c r="A117" s="19"/>
      <c r="B117" s="20"/>
      <c r="C117" s="19"/>
      <c r="D117" s="22"/>
      <c r="E117" s="22"/>
      <c r="F117" s="22"/>
    </row>
    <row r="118" spans="1:6" x14ac:dyDescent="0.25">
      <c r="A118" s="19"/>
      <c r="B118" s="20"/>
      <c r="C118" s="19"/>
      <c r="D118" s="22"/>
      <c r="E118" s="22"/>
      <c r="F118" s="22"/>
    </row>
    <row r="119" spans="1:6" x14ac:dyDescent="0.25">
      <c r="A119" s="19"/>
      <c r="B119" s="20"/>
      <c r="C119" s="19"/>
      <c r="D119" s="22"/>
      <c r="E119" s="22"/>
      <c r="F119" s="22"/>
    </row>
    <row r="120" spans="1:6" x14ac:dyDescent="0.25">
      <c r="A120" s="19"/>
      <c r="B120" s="20"/>
      <c r="C120" s="19"/>
      <c r="D120" s="22"/>
      <c r="E120" s="22"/>
      <c r="F120" s="22"/>
    </row>
    <row r="121" spans="1:6" x14ac:dyDescent="0.25">
      <c r="A121" s="19"/>
      <c r="B121" s="20"/>
      <c r="C121" s="19"/>
      <c r="D121" s="22"/>
      <c r="E121" s="22"/>
      <c r="F121" s="22"/>
    </row>
    <row r="122" spans="1:6" x14ac:dyDescent="0.25">
      <c r="A122" s="19"/>
      <c r="B122" s="20"/>
      <c r="C122" s="19"/>
      <c r="D122" s="22"/>
      <c r="E122" s="22"/>
      <c r="F122" s="22"/>
    </row>
    <row r="123" spans="1:6" x14ac:dyDescent="0.25">
      <c r="A123" s="19"/>
      <c r="B123" s="20"/>
      <c r="C123" s="19"/>
      <c r="D123" s="22"/>
      <c r="E123" s="22"/>
      <c r="F123" s="22"/>
    </row>
    <row r="124" spans="1:6" x14ac:dyDescent="0.25">
      <c r="A124" s="19"/>
      <c r="B124" s="20"/>
      <c r="C124" s="19"/>
      <c r="D124" s="22"/>
      <c r="E124" s="22"/>
      <c r="F124" s="22"/>
    </row>
    <row r="125" spans="1:6" x14ac:dyDescent="0.25">
      <c r="A125" s="19"/>
      <c r="B125" s="20"/>
      <c r="C125" s="19"/>
      <c r="D125" s="22"/>
      <c r="E125" s="22"/>
      <c r="F125" s="22"/>
    </row>
    <row r="126" spans="1:6" x14ac:dyDescent="0.25">
      <c r="A126" s="19"/>
      <c r="B126" s="20"/>
      <c r="C126" s="19"/>
      <c r="D126" s="22"/>
      <c r="E126" s="22"/>
      <c r="F126" s="22"/>
    </row>
    <row r="127" spans="1:6" x14ac:dyDescent="0.25">
      <c r="A127" s="19"/>
      <c r="B127" s="20"/>
      <c r="C127" s="19"/>
      <c r="D127" s="22"/>
      <c r="E127" s="22"/>
      <c r="F127" s="22"/>
    </row>
    <row r="128" spans="1:6" x14ac:dyDescent="0.25">
      <c r="A128" s="19"/>
      <c r="B128" s="20"/>
      <c r="C128" s="19"/>
      <c r="D128" s="22"/>
      <c r="E128" s="22"/>
      <c r="F128" s="22"/>
    </row>
    <row r="129" spans="1:6" x14ac:dyDescent="0.25">
      <c r="A129" s="19"/>
      <c r="B129" s="20"/>
      <c r="C129" s="19"/>
      <c r="D129" s="22"/>
      <c r="E129" s="22"/>
      <c r="F129" s="22"/>
    </row>
    <row r="130" spans="1:6" x14ac:dyDescent="0.25">
      <c r="A130" s="19"/>
      <c r="B130" s="20"/>
      <c r="C130" s="19"/>
      <c r="D130" s="22"/>
      <c r="E130" s="22"/>
      <c r="F130" s="22"/>
    </row>
    <row r="131" spans="1:6" x14ac:dyDescent="0.25">
      <c r="A131" s="19"/>
      <c r="B131" s="20"/>
      <c r="C131" s="19"/>
      <c r="D131" s="22"/>
      <c r="E131" s="22"/>
      <c r="F131" s="22"/>
    </row>
    <row r="132" spans="1:6" x14ac:dyDescent="0.25">
      <c r="A132" s="19"/>
      <c r="B132" s="20"/>
      <c r="C132" s="19"/>
      <c r="D132" s="22"/>
      <c r="E132" s="22"/>
      <c r="F132" s="22"/>
    </row>
    <row r="133" spans="1:6" x14ac:dyDescent="0.25">
      <c r="A133" s="19"/>
      <c r="B133" s="20"/>
      <c r="C133" s="19"/>
      <c r="D133" s="22"/>
      <c r="E133" s="22"/>
      <c r="F133" s="22"/>
    </row>
    <row r="134" spans="1:6" x14ac:dyDescent="0.25">
      <c r="A134" s="19"/>
      <c r="B134" s="20"/>
      <c r="C134" s="19"/>
      <c r="D134" s="22"/>
      <c r="E134" s="22"/>
      <c r="F134" s="22"/>
    </row>
    <row r="135" spans="1:6" x14ac:dyDescent="0.25">
      <c r="A135" s="19"/>
      <c r="B135" s="20"/>
      <c r="C135" s="19"/>
      <c r="D135" s="22"/>
      <c r="E135" s="22"/>
      <c r="F135" s="22"/>
    </row>
    <row r="136" spans="1:6" x14ac:dyDescent="0.25">
      <c r="A136" s="19"/>
      <c r="B136" s="20"/>
      <c r="C136" s="19"/>
      <c r="D136" s="22"/>
      <c r="E136" s="22"/>
      <c r="F136" s="22"/>
    </row>
    <row r="137" spans="1:6" x14ac:dyDescent="0.25">
      <c r="A137" s="19"/>
      <c r="B137" s="20"/>
      <c r="C137" s="19"/>
      <c r="D137" s="22"/>
      <c r="E137" s="22"/>
      <c r="F137" s="22"/>
    </row>
    <row r="138" spans="1:6" x14ac:dyDescent="0.25">
      <c r="A138" s="19"/>
      <c r="B138" s="20"/>
      <c r="C138" s="19"/>
      <c r="D138" s="22"/>
      <c r="E138" s="22"/>
      <c r="F138" s="22"/>
    </row>
    <row r="139" spans="1:6" x14ac:dyDescent="0.25">
      <c r="A139" s="19"/>
      <c r="B139" s="20"/>
      <c r="C139" s="19"/>
      <c r="D139" s="22"/>
      <c r="E139" s="22"/>
      <c r="F139" s="22"/>
    </row>
    <row r="140" spans="1:6" x14ac:dyDescent="0.25">
      <c r="A140" s="19"/>
      <c r="B140" s="20"/>
      <c r="C140" s="19"/>
      <c r="D140" s="22"/>
      <c r="E140" s="22"/>
      <c r="F140" s="22"/>
    </row>
    <row r="141" spans="1:6" x14ac:dyDescent="0.25">
      <c r="A141" s="19"/>
      <c r="B141" s="20"/>
      <c r="C141" s="19"/>
      <c r="D141" s="22"/>
      <c r="E141" s="22"/>
      <c r="F141" s="22"/>
    </row>
    <row r="142" spans="1:6" x14ac:dyDescent="0.25">
      <c r="A142" s="19"/>
      <c r="B142" s="20"/>
      <c r="C142" s="19"/>
      <c r="D142" s="22"/>
      <c r="E142" s="22"/>
      <c r="F142" s="22"/>
    </row>
    <row r="143" spans="1:6" x14ac:dyDescent="0.25">
      <c r="A143" s="19"/>
      <c r="B143" s="20"/>
      <c r="C143" s="19"/>
      <c r="D143" s="22"/>
      <c r="E143" s="22"/>
      <c r="F143" s="22"/>
    </row>
    <row r="144" spans="1:6" x14ac:dyDescent="0.25">
      <c r="A144" s="19"/>
      <c r="B144" s="20"/>
      <c r="C144" s="19"/>
      <c r="D144" s="22"/>
      <c r="E144" s="22"/>
      <c r="F144" s="22"/>
    </row>
    <row r="145" spans="1:6" x14ac:dyDescent="0.25">
      <c r="A145" s="19"/>
      <c r="B145" s="20"/>
      <c r="C145" s="19"/>
      <c r="D145" s="22"/>
      <c r="E145" s="22"/>
      <c r="F145" s="22"/>
    </row>
    <row r="146" spans="1:6" x14ac:dyDescent="0.25">
      <c r="A146" s="19"/>
      <c r="B146" s="20"/>
      <c r="C146" s="19"/>
      <c r="D146" s="22"/>
      <c r="E146" s="22"/>
      <c r="F146" s="22"/>
    </row>
    <row r="147" spans="1:6" x14ac:dyDescent="0.25">
      <c r="A147" s="19"/>
      <c r="B147" s="20"/>
      <c r="C147" s="19"/>
      <c r="D147" s="22"/>
      <c r="E147" s="22"/>
      <c r="F147" s="22"/>
    </row>
  </sheetData>
  <sortState xmlns:xlrd2="http://schemas.microsoft.com/office/spreadsheetml/2017/richdata2" ref="F85:G94">
    <sortCondition ref="G85:G94"/>
  </sortState>
  <mergeCells count="15">
    <mergeCell ref="E83:J83"/>
    <mergeCell ref="W1:X1"/>
    <mergeCell ref="E1:F1"/>
    <mergeCell ref="Y1:Z1"/>
    <mergeCell ref="G1:H1"/>
    <mergeCell ref="I1:J1"/>
    <mergeCell ref="K1:L1"/>
    <mergeCell ref="M1:N1"/>
    <mergeCell ref="O1:P1"/>
    <mergeCell ref="Q1:R1"/>
    <mergeCell ref="E56:J56"/>
    <mergeCell ref="E69:J69"/>
    <mergeCell ref="B54:D54"/>
    <mergeCell ref="S1:T1"/>
    <mergeCell ref="U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Composite Scores</vt:lpstr>
      <vt:lpstr>Andy's Scores</vt:lpstr>
      <vt:lpstr>April's Scores</vt:lpstr>
      <vt:lpstr>Amy's Scores</vt:lpstr>
      <vt:lpstr>Michael's Scores</vt:lpstr>
      <vt:lpstr>Bid Tab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Vowell</dc:creator>
  <cp:lastModifiedBy>Andy Vowell</cp:lastModifiedBy>
  <dcterms:created xsi:type="dcterms:W3CDTF">2025-08-28T14:05:22Z</dcterms:created>
  <dcterms:modified xsi:type="dcterms:W3CDTF">2025-10-23T22:23:42Z</dcterms:modified>
</cp:coreProperties>
</file>